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unny\Downloads\"/>
    </mc:Choice>
  </mc:AlternateContent>
  <xr:revisionPtr revIDLastSave="0" documentId="13_ncr:1_{361F524A-D07D-4E71-8C5D-EE8EE9D1639C}" xr6:coauthVersionLast="47" xr6:coauthVersionMax="47" xr10:uidLastSave="{00000000-0000-0000-0000-000000000000}"/>
  <bookViews>
    <workbookView xWindow="-38520" yWindow="45" windowWidth="38640" windowHeight="21120" activeTab="8" xr2:uid="{00000000-000D-0000-FFFF-FFFF00000000}"/>
  </bookViews>
  <sheets>
    <sheet name="Dashboard" sheetId="1" r:id="rId1"/>
    <sheet name="Inputs" sheetId="2" r:id="rId2"/>
    <sheet name="Financials" sheetId="3" r:id="rId3"/>
    <sheet name="Ratios" sheetId="4" r:id="rId4"/>
    <sheet name="PE Valuation" sheetId="5" r:id="rId5"/>
    <sheet name="DCF Valuation" sheetId="6" r:id="rId6"/>
    <sheet name="ROE Valuation" sheetId="7" r:id="rId7"/>
    <sheet name="Scorecard" sheetId="8" r:id="rId8"/>
    <sheet name="Financial Health" sheetId="9" r:id="rId9"/>
    <sheet name="Guid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8" l="1"/>
  <c r="C17" i="8" s="1"/>
  <c r="D17" i="8" s="1"/>
  <c r="D12" i="8"/>
  <c r="C12" i="8"/>
  <c r="B12" i="8"/>
  <c r="E3" i="8"/>
  <c r="B12" i="7"/>
  <c r="B10" i="7"/>
  <c r="B9" i="7"/>
  <c r="B11" i="7" s="1"/>
  <c r="B8" i="7"/>
  <c r="B5" i="7"/>
  <c r="B13" i="6"/>
  <c r="B12" i="6"/>
  <c r="B11" i="6"/>
  <c r="B10" i="6"/>
  <c r="B9" i="6"/>
  <c r="B8" i="6"/>
  <c r="B7" i="6"/>
  <c r="B11" i="5"/>
  <c r="B10" i="5"/>
  <c r="B12" i="5" s="1"/>
  <c r="B9" i="5"/>
  <c r="B8" i="5"/>
  <c r="B6" i="5"/>
  <c r="B5" i="5"/>
  <c r="B7" i="5" s="1"/>
  <c r="B4" i="5"/>
  <c r="F12" i="4"/>
  <c r="E12" i="4"/>
  <c r="D12" i="4"/>
  <c r="C12" i="4"/>
  <c r="B12" i="4"/>
  <c r="F11" i="4"/>
  <c r="C10" i="8" s="1"/>
  <c r="D10" i="8" s="1"/>
  <c r="E11" i="4"/>
  <c r="D11" i="4"/>
  <c r="C11" i="4"/>
  <c r="B11" i="4"/>
  <c r="F10" i="4"/>
  <c r="C6" i="8" s="1"/>
  <c r="D6" i="8" s="1"/>
  <c r="E10" i="4"/>
  <c r="D10" i="4"/>
  <c r="C10" i="4"/>
  <c r="B10" i="4"/>
  <c r="F9" i="4"/>
  <c r="C13" i="8" s="1"/>
  <c r="D13" i="8" s="1"/>
  <c r="E9" i="4"/>
  <c r="D9" i="4"/>
  <c r="C9" i="4"/>
  <c r="B9" i="4"/>
  <c r="F8" i="4"/>
  <c r="E8" i="4"/>
  <c r="D8" i="4"/>
  <c r="C8" i="4"/>
  <c r="B8" i="4"/>
  <c r="F7" i="4"/>
  <c r="E7" i="4"/>
  <c r="D7" i="4"/>
  <c r="C7" i="4"/>
  <c r="B7" i="4"/>
  <c r="C5" i="8" s="1"/>
  <c r="D5" i="8" s="1"/>
  <c r="F6" i="4"/>
  <c r="A15" i="4" s="1"/>
  <c r="E6" i="4"/>
  <c r="D6" i="4"/>
  <c r="C6" i="4"/>
  <c r="B6" i="4"/>
  <c r="F5" i="4"/>
  <c r="E5" i="4"/>
  <c r="D5" i="4"/>
  <c r="C5" i="4"/>
  <c r="B5" i="4"/>
  <c r="F4" i="4"/>
  <c r="E4" i="4"/>
  <c r="D4" i="4"/>
  <c r="C4" i="4"/>
  <c r="B4" i="4"/>
  <c r="A44" i="3"/>
  <c r="G41" i="3"/>
  <c r="C22" i="2" s="1"/>
  <c r="B4" i="7" s="1"/>
  <c r="B6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7" i="7" s="1"/>
  <c r="B28" i="7" s="1"/>
  <c r="B29" i="7" s="1"/>
  <c r="G40" i="3"/>
  <c r="C26" i="2" s="1"/>
  <c r="G39" i="3"/>
  <c r="G38" i="3"/>
  <c r="G37" i="3"/>
  <c r="C24" i="2" s="1"/>
  <c r="G36" i="3"/>
  <c r="G35" i="3"/>
  <c r="C23" i="2" s="1"/>
  <c r="B4" i="9" s="1"/>
  <c r="G34" i="3"/>
  <c r="G30" i="3"/>
  <c r="C16" i="2" s="1"/>
  <c r="G29" i="3"/>
  <c r="G28" i="3"/>
  <c r="G27" i="3"/>
  <c r="G26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C33" i="2"/>
  <c r="B7" i="7" s="1"/>
  <c r="C25" i="2"/>
  <c r="B5" i="9" s="1"/>
  <c r="C21" i="2"/>
  <c r="B16" i="9" s="1"/>
  <c r="C20" i="2"/>
  <c r="B5" i="6" s="1"/>
  <c r="B30" i="6" s="1"/>
  <c r="C15" i="2"/>
  <c r="C14" i="2"/>
  <c r="B13" i="9" s="1"/>
  <c r="C13" i="2"/>
  <c r="B8" i="9" s="1"/>
  <c r="C12" i="2"/>
  <c r="B7" i="8" s="1"/>
  <c r="C7" i="8" s="1"/>
  <c r="D7" i="8" s="1"/>
  <c r="C9" i="2"/>
  <c r="D18" i="1"/>
  <c r="B18" i="1"/>
  <c r="D15" i="1"/>
  <c r="B15" i="1"/>
  <c r="H5" i="1"/>
  <c r="F2" i="1"/>
  <c r="A2" i="1"/>
  <c r="B16" i="5" l="1"/>
  <c r="B17" i="5" s="1"/>
  <c r="B18" i="5" s="1"/>
  <c r="B19" i="5" s="1"/>
  <c r="B20" i="5" s="1"/>
  <c r="B22" i="5" s="1"/>
  <c r="B23" i="5" s="1"/>
  <c r="B15" i="9"/>
  <c r="C16" i="7"/>
  <c r="B11" i="8"/>
  <c r="C11" i="8" s="1"/>
  <c r="D11" i="8" s="1"/>
  <c r="B14" i="9"/>
  <c r="B4" i="6"/>
  <c r="B10" i="9"/>
  <c r="C18" i="8"/>
  <c r="D18" i="8" s="1"/>
  <c r="B18" i="8"/>
  <c r="D19" i="1"/>
  <c r="B19" i="1"/>
  <c r="B7" i="9"/>
  <c r="B8" i="8"/>
  <c r="C8" i="8" s="1"/>
  <c r="D8" i="8" s="1"/>
  <c r="B6" i="9"/>
  <c r="A26" i="5"/>
  <c r="B5" i="8"/>
  <c r="B9" i="8"/>
  <c r="B13" i="8"/>
  <c r="C9" i="8"/>
  <c r="D9" i="8" s="1"/>
  <c r="B16" i="1"/>
  <c r="B6" i="6"/>
  <c r="B31" i="6" s="1"/>
  <c r="B6" i="8"/>
  <c r="B10" i="8"/>
  <c r="D16" i="1"/>
  <c r="A19" i="9" l="1"/>
  <c r="B14" i="1"/>
  <c r="D14" i="1" s="1"/>
  <c r="C14" i="8"/>
  <c r="D14" i="8" s="1"/>
  <c r="C20" i="8" s="1"/>
  <c r="B14" i="8"/>
  <c r="C10" i="9"/>
  <c r="B15" i="8"/>
  <c r="D17" i="1"/>
  <c r="B17" i="1"/>
  <c r="C15" i="8"/>
  <c r="D15" i="8" s="1"/>
  <c r="B17" i="6"/>
  <c r="C17" i="7"/>
  <c r="D16" i="7"/>
  <c r="C16" i="8"/>
  <c r="D16" i="8" s="1"/>
  <c r="B16" i="8"/>
  <c r="B10" i="1"/>
  <c r="A11" i="1"/>
  <c r="A22" i="8" l="1"/>
  <c r="B5" i="1"/>
  <c r="B18" i="6"/>
  <c r="C17" i="6"/>
  <c r="C18" i="7"/>
  <c r="D17" i="7"/>
  <c r="D18" i="7" l="1"/>
  <c r="C19" i="7"/>
  <c r="B19" i="6"/>
  <c r="C18" i="6"/>
  <c r="C20" i="7" l="1"/>
  <c r="D19" i="7"/>
  <c r="B20" i="6"/>
  <c r="C19" i="6"/>
  <c r="C20" i="6" l="1"/>
  <c r="B21" i="6"/>
  <c r="C21" i="7"/>
  <c r="D20" i="7"/>
  <c r="C22" i="7" l="1"/>
  <c r="D21" i="7"/>
  <c r="B22" i="6"/>
  <c r="C21" i="6"/>
  <c r="B23" i="6" l="1"/>
  <c r="C22" i="6"/>
  <c r="D22" i="7"/>
  <c r="C23" i="7"/>
  <c r="C24" i="7" l="1"/>
  <c r="D23" i="7"/>
  <c r="B24" i="6"/>
  <c r="C23" i="6"/>
  <c r="B25" i="6" l="1"/>
  <c r="C24" i="6"/>
  <c r="C25" i="7"/>
  <c r="D25" i="7" s="1"/>
  <c r="B30" i="7" s="1"/>
  <c r="B31" i="7" s="1"/>
  <c r="D24" i="7"/>
  <c r="H10" i="1" l="1"/>
  <c r="G11" i="1"/>
  <c r="A35" i="7"/>
  <c r="B26" i="6"/>
  <c r="C26" i="6" s="1"/>
  <c r="C25" i="6"/>
  <c r="B29" i="6" l="1"/>
  <c r="B28" i="6"/>
  <c r="B32" i="6" s="1"/>
  <c r="B33" i="6" s="1"/>
  <c r="E10" i="1" l="1"/>
  <c r="G5" i="6"/>
  <c r="A37" i="6" s="1"/>
  <c r="D11" i="1"/>
  <c r="E5" i="1"/>
  <c r="B7" i="1" l="1"/>
  <c r="E7" i="1" s="1"/>
  <c r="H6" i="1"/>
  <c r="E6" i="1"/>
  <c r="A25" i="1"/>
  <c r="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6" authorId="0" shapeId="0" xr:uid="{00000000-0006-0000-0000-000001000000}">
      <text>
        <r>
          <rPr>
            <sz val="11"/>
            <color theme="1"/>
            <rFont val="Calibri"/>
            <scheme val="minor"/>
          </rPr>
          <t>CAGR if price converges to fair value over 5 yrs</t>
        </r>
      </text>
    </comment>
    <comment ref="B7" authorId="0" shapeId="0" xr:uid="{00000000-0006-0000-0000-000002000000}">
      <text>
        <r>
          <rPr>
            <sz val="11"/>
            <color theme="1"/>
            <rFont val="Calibri"/>
            <scheme val="minor"/>
          </rPr>
          <t>Highest price that still clears your desired annual return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100-00000A000000}">
      <text>
        <r>
          <rPr>
            <sz val="11"/>
            <color theme="1"/>
            <rFont val="Calibri"/>
            <scheme val="minor"/>
          </rPr>
          <t>Source: TradingView live quote, 28-Jun-2026</t>
        </r>
      </text>
    </comment>
    <comment ref="C8" authorId="0" shapeId="0" xr:uid="{00000000-0006-0000-0100-000008000000}">
      <text>
        <r>
          <rPr>
            <sz val="11"/>
            <color theme="1"/>
            <rFont val="Calibri"/>
            <scheme val="minor"/>
          </rPr>
          <t>Market cap / price</t>
        </r>
      </text>
    </comment>
    <comment ref="C17" authorId="0" shapeId="0" xr:uid="{00000000-0006-0000-0100-000002000000}">
      <text>
        <r>
          <rPr>
            <sz val="11"/>
            <color theme="1"/>
            <rFont val="Calibri"/>
            <scheme val="minor"/>
          </rPr>
          <t>Tesla pays no dividend</t>
        </r>
      </text>
    </comment>
    <comment ref="C27" authorId="0" shapeId="0" xr:uid="{00000000-0006-0000-0100-000006000000}">
      <text>
        <r>
          <rPr>
            <sz val="11"/>
            <color theme="1"/>
            <rFont val="Calibri"/>
            <scheme val="minor"/>
          </rPr>
          <t>Estimate - update from 10-Q equity detail. Only affects Altman-Z (minor).</t>
        </r>
      </text>
    </comment>
    <comment ref="C30" authorId="0" shapeId="0" xr:uid="{00000000-0006-0000-0100-000005000000}">
      <text>
        <r>
          <rPr>
            <sz val="11"/>
            <color theme="1"/>
            <rFont val="Calibri"/>
            <scheme val="minor"/>
          </rPr>
          <t>Analyst long-term consensus assumption. ADJUST per your view.</t>
        </r>
      </text>
    </comment>
    <comment ref="C31" authorId="0" shapeId="0" xr:uid="{00000000-0006-0000-0100-000004000000}">
      <text>
        <r>
          <rPr>
            <sz val="11"/>
            <color theme="1"/>
            <rFont val="Calibri"/>
            <scheme val="minor"/>
          </rPr>
          <t>Tesla EPS peaked 2022-23 then fell. Informational.</t>
        </r>
      </text>
    </comment>
    <comment ref="C32" authorId="0" shapeId="0" xr:uid="{00000000-0006-0000-0100-000003000000}">
      <text>
        <r>
          <rPr>
            <sz val="11"/>
            <color theme="1"/>
            <rFont val="Calibri"/>
            <scheme val="minor"/>
          </rPr>
          <t>Tesla historical avg; capped at the P/E ceiling below in the P/E model.</t>
        </r>
      </text>
    </comment>
    <comment ref="C34" authorId="0" shapeId="0" xr:uid="{00000000-0006-0000-0100-000001000000}">
      <text>
        <r>
          <rPr>
            <sz val="11"/>
            <color theme="1"/>
            <rFont val="Calibri"/>
            <scheme val="minor"/>
          </rPr>
          <t>ROE x retention. Editable.</t>
        </r>
      </text>
    </comment>
    <comment ref="C37" authorId="0" shapeId="0" xr:uid="{00000000-0006-0000-0100-00000B000000}">
      <text>
        <r>
          <rPr>
            <sz val="11"/>
            <color theme="1"/>
            <rFont val="Calibri"/>
            <scheme val="minor"/>
          </rPr>
          <t>Your hurdle rate for the max-buy-price calc</t>
        </r>
      </text>
    </comment>
    <comment ref="C40" authorId="0" shapeId="0" xr:uid="{00000000-0006-0000-0100-000009000000}">
      <text>
        <r>
          <rPr>
            <sz val="11"/>
            <color theme="1"/>
            <rFont val="Calibri"/>
            <scheme val="minor"/>
          </rPr>
          <t>Growth fades by this each year</t>
        </r>
      </text>
    </comment>
    <comment ref="C42" authorId="0" shapeId="0" xr:uid="{00000000-0006-0000-0100-000007000000}">
      <text>
        <r>
          <rPr>
            <sz val="11"/>
            <color theme="1"/>
            <rFont val="Calibri"/>
            <scheme val="minor"/>
          </rPr>
          <t>Terminal P/E in the P/E model is capped here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" authorId="0" shapeId="0" xr:uid="{00000000-0006-0000-0500-000001000000}">
      <text>
        <r>
          <rPr>
            <sz val="11"/>
            <color theme="1"/>
            <rFont val="Calibri"/>
            <scheme val="minor"/>
          </rPr>
          <t>Year-10 discounted FCF x terminal multiple</t>
        </r>
      </text>
    </comment>
  </commentList>
</comments>
</file>

<file path=xl/sharedStrings.xml><?xml version="1.0" encoding="utf-8"?>
<sst xmlns="http://schemas.openxmlformats.org/spreadsheetml/2006/main" count="303" uniqueCount="248">
  <si>
    <t>Investment Dashboard</t>
  </si>
  <si>
    <t>Verdict</t>
  </si>
  <si>
    <t>Quality score</t>
  </si>
  <si>
    <t>/100</t>
  </si>
  <si>
    <t>Avg intrinsic value</t>
  </si>
  <si>
    <t>Current price</t>
  </si>
  <si>
    <t>Upside / (downside)</t>
  </si>
  <si>
    <t>Assessment</t>
  </si>
  <si>
    <t>Expected 5y return</t>
  </si>
  <si>
    <t>Max buy price (your hurdle)</t>
  </si>
  <si>
    <t>Margin of safety vs price</t>
  </si>
  <si>
    <t>Three valuation methods</t>
  </si>
  <si>
    <t>P/E valuation</t>
  </si>
  <si>
    <t>DCF valuation</t>
  </si>
  <si>
    <t>ROE valuation</t>
  </si>
  <si>
    <t>Key health &amp; quality checks</t>
  </si>
  <si>
    <t>Altman Z-Score</t>
  </si>
  <si>
    <t>Current ratio</t>
  </si>
  <si>
    <t>Debt / equity</t>
  </si>
  <si>
    <t>FCF / Net income</t>
  </si>
  <si>
    <t>Return on equity</t>
  </si>
  <si>
    <t>Debt repayment (yrs)</t>
  </si>
  <si>
    <t>Conditional formatting on the verdict cells and the scorecard makes good values green / bad red.</t>
  </si>
  <si>
    <t>Disclaimer: For educational purposes only. Not investment advice. Verify all figures against primary filings before acting.</t>
  </si>
  <si>
    <t>Summary of findings</t>
  </si>
  <si>
    <t>Colour key:</t>
  </si>
  <si>
    <t>Good</t>
  </si>
  <si>
    <t>Neutral</t>
  </si>
  <si>
    <t>Bad</t>
  </si>
  <si>
    <t>Big trouble</t>
  </si>
  <si>
    <t>Inputs  -  edit the blue cells</t>
  </si>
  <si>
    <t>Blue = type/paste these. Black = calculated. Green = pulled from another tab. Change them and every tab updates.</t>
  </si>
  <si>
    <t>Company &amp; market</t>
  </si>
  <si>
    <t>Ticker</t>
  </si>
  <si>
    <t>TSLA</t>
  </si>
  <si>
    <t>symbol</t>
  </si>
  <si>
    <t>Company name</t>
  </si>
  <si>
    <t>Tesla, Inc.</t>
  </si>
  <si>
    <t>Exchange</t>
  </si>
  <si>
    <t>NASDAQ</t>
  </si>
  <si>
    <t>Share price ($)</t>
  </si>
  <si>
    <t>live</t>
  </si>
  <si>
    <t>Shares outstanding (mil)</t>
  </si>
  <si>
    <t>Market cap ($mil)</t>
  </si>
  <si>
    <t>price x shares</t>
  </si>
  <si>
    <t>Per-share &amp; earnings (TTM)</t>
  </si>
  <si>
    <t>EPS, diluted (TTM, $)</t>
  </si>
  <si>
    <t>from Financials</t>
  </si>
  <si>
    <t>Revenue (TTM, $mil)</t>
  </si>
  <si>
    <t>Net income to common (TTM, $mil)</t>
  </si>
  <si>
    <t>Operating income / EBIT (TTM, $mil)</t>
  </si>
  <si>
    <t>Free cash flow (TTM, $mil)</t>
  </si>
  <si>
    <t>Dividend per share ($)</t>
  </si>
  <si>
    <t>Balance sheet (latest quarter)</t>
  </si>
  <si>
    <t>Cash &amp; ST investments ($mil)</t>
  </si>
  <si>
    <t>Total debt ($mil)</t>
  </si>
  <si>
    <t>Shareholders' equity ($mil)</t>
  </si>
  <si>
    <t>Total current assets ($mil)</t>
  </si>
  <si>
    <t>Total current liabilities ($mil)</t>
  </si>
  <si>
    <t>Total assets ($mil)</t>
  </si>
  <si>
    <t>Total liabilities ($mil)</t>
  </si>
  <si>
    <t>Retained earnings ($mil)</t>
  </si>
  <si>
    <t>Growth &amp; valuation assumptions</t>
  </si>
  <si>
    <t>Expected EPS/FCF growth (next 5y)</t>
  </si>
  <si>
    <t>Past 5y EPS growth (info)</t>
  </si>
  <si>
    <t>5Y average P/E</t>
  </si>
  <si>
    <t>Avg Return on Equity (5q)</t>
  </si>
  <si>
    <t>Sustainable growth rate</t>
  </si>
  <si>
    <t>Conservatism settings</t>
  </si>
  <si>
    <t>Desired annual return</t>
  </si>
  <si>
    <t>Margin of safety</t>
  </si>
  <si>
    <t>Discount rate</t>
  </si>
  <si>
    <t>Growth decline rate / yr</t>
  </si>
  <si>
    <t>Year-10 FCF terminal multiple</t>
  </si>
  <si>
    <t>P/E ceiling (cap)</t>
  </si>
  <si>
    <t>Financial Statements  -  $ millions</t>
  </si>
  <si>
    <t>Source: Tesla Q1 2026 Shareholder Update (filed 22-Apr-2026). Quarterly GAAP. TTM = sum of last 4 quarters.</t>
  </si>
  <si>
    <t>Income Statement</t>
  </si>
  <si>
    <t>Q1'25</t>
  </si>
  <si>
    <t>Q2'25</t>
  </si>
  <si>
    <t>Q3'25</t>
  </si>
  <si>
    <t>Q4'25</t>
  </si>
  <si>
    <t>Q1'26</t>
  </si>
  <si>
    <t>TTM</t>
  </si>
  <si>
    <t>Total revenue</t>
  </si>
  <si>
    <t>Cost of revenue</t>
  </si>
  <si>
    <t>Gross profit</t>
  </si>
  <si>
    <t>R&amp;D</t>
  </si>
  <si>
    <t>SG&amp;A</t>
  </si>
  <si>
    <t>Restructuring &amp; other</t>
  </si>
  <si>
    <t>Total operating expenses</t>
  </si>
  <si>
    <t>Operating income (EBIT)</t>
  </si>
  <si>
    <t>Interest income</t>
  </si>
  <si>
    <t>Interest expense</t>
  </si>
  <si>
    <t>Other income, net</t>
  </si>
  <si>
    <t>Pretax income</t>
  </si>
  <si>
    <t>Income tax</t>
  </si>
  <si>
    <t>Net income (total)</t>
  </si>
  <si>
    <t>Net income to common</t>
  </si>
  <si>
    <t>Diluted EPS ($)</t>
  </si>
  <si>
    <t>Diluted shares (mil)</t>
  </si>
  <si>
    <t>Cash Flow</t>
  </si>
  <si>
    <t>Depreciation &amp; amort.</t>
  </si>
  <si>
    <t>Stock-based comp</t>
  </si>
  <si>
    <t>Operating cash flow</t>
  </si>
  <si>
    <t>Capital expenditures</t>
  </si>
  <si>
    <t>Free cash flow</t>
  </si>
  <si>
    <t>Balance Sheet (period-end)</t>
  </si>
  <si>
    <t>Cash &amp; ST investments</t>
  </si>
  <si>
    <t>Total current assets</t>
  </si>
  <si>
    <t>Total assets</t>
  </si>
  <si>
    <t>Total current liabilities</t>
  </si>
  <si>
    <t>Current debt</t>
  </si>
  <si>
    <t>Long-term debt</t>
  </si>
  <si>
    <t>Total liabilities</t>
  </si>
  <si>
    <t>Shareholders' equity</t>
  </si>
  <si>
    <t>Key Ratios by Quarter</t>
  </si>
  <si>
    <t>Ratio</t>
  </si>
  <si>
    <t>Gross margin</t>
  </si>
  <si>
    <t>Operating margin</t>
  </si>
  <si>
    <t>Net margin</t>
  </si>
  <si>
    <t>Return on equity (annualized)</t>
  </si>
  <si>
    <t>Return on assets (annualized)</t>
  </si>
  <si>
    <t>Book value per share ($)</t>
  </si>
  <si>
    <t>P/E Valuation</t>
  </si>
  <si>
    <t>Projects EPS forward, applies a terminal P/E, discounts to today.</t>
  </si>
  <si>
    <t>Inputs</t>
  </si>
  <si>
    <t>EPS (TTM)</t>
  </si>
  <si>
    <t>Expected growth</t>
  </si>
  <si>
    <t>Conservative growth</t>
  </si>
  <si>
    <t>Growth decline / yr</t>
  </si>
  <si>
    <t>5Y avg P/E</t>
  </si>
  <si>
    <t>P/E ceiling</t>
  </si>
  <si>
    <t>Terminal P/E used</t>
  </si>
  <si>
    <t>5-year EPS projection</t>
  </si>
  <si>
    <t>Year</t>
  </si>
  <si>
    <t>EPS ($)</t>
  </si>
  <si>
    <t>Value in 5 yrs (EPS5 x term P/E)</t>
  </si>
  <si>
    <t>Intrinsic value / share (PV)</t>
  </si>
  <si>
    <t>DCF Valuation</t>
  </si>
  <si>
    <t>10-year free-cash-flow projection with fading growth + terminal multiple.</t>
  </si>
  <si>
    <t>Reverse DCF</t>
  </si>
  <si>
    <t>Growth the current price implies:</t>
  </si>
  <si>
    <t>(vs your assumed growth at left)</t>
  </si>
  <si>
    <t>Terminal FCF multiple</t>
  </si>
  <si>
    <t>FCF</t>
  </si>
  <si>
    <t>PV of FCF</t>
  </si>
  <si>
    <t>Sum of PV of FCF</t>
  </si>
  <si>
    <t>PV of terminal value</t>
  </si>
  <si>
    <t>Add: cash</t>
  </si>
  <si>
    <t>Less: debt</t>
  </si>
  <si>
    <t>Equity value ($mil)</t>
  </si>
  <si>
    <t>Intrinsic value / share ($)</t>
  </si>
  <si>
    <t>ROE / Equity Valuation</t>
  </si>
  <si>
    <t>Grows book value at the sustainable rate, values terminal earnings + dividends.</t>
  </si>
  <si>
    <t>Equity / share ($)</t>
  </si>
  <si>
    <t>Avg ROE</t>
  </si>
  <si>
    <t>Dividend / share ($)</t>
  </si>
  <si>
    <t>Sustainable growth</t>
  </si>
  <si>
    <t>10-year projection (per share)</t>
  </si>
  <si>
    <t>Equity/sh</t>
  </si>
  <si>
    <t>Dividend</t>
  </si>
  <si>
    <t>PV div</t>
  </si>
  <si>
    <t>Year-10 EPS (equity x ROE)</t>
  </si>
  <si>
    <t>Terminal value (EPS/disc)</t>
  </si>
  <si>
    <t>PV of dividends</t>
  </si>
  <si>
    <t>Quality Scorecard</t>
  </si>
  <si>
    <t>Each factor is judged from the data and weighted. Total = 0-100 quality score.</t>
  </si>
  <si>
    <t>Total wt:</t>
  </si>
  <si>
    <t>Factor</t>
  </si>
  <si>
    <t>Value</t>
  </si>
  <si>
    <t>Judgement</t>
  </si>
  <si>
    <t>Pts</t>
  </si>
  <si>
    <t>Wt</t>
  </si>
  <si>
    <t>Comment</t>
  </si>
  <si>
    <t>Return on Equity</t>
  </si>
  <si>
    <t>Consistently high returns on equity</t>
  </si>
  <si>
    <t>Debt / Equity</t>
  </si>
  <si>
    <t>Lower leverage = lower risk</t>
  </si>
  <si>
    <t>PEG ratio</t>
  </si>
  <si>
    <t>P/E relative to growth</t>
  </si>
  <si>
    <t>P/E ratio</t>
  </si>
  <si>
    <t>Absolute valuation multiple</t>
  </si>
  <si>
    <t>Net margin trend</t>
  </si>
  <si>
    <t>Margins stable or rising YoY</t>
  </si>
  <si>
    <t>Book value/share trend</t>
  </si>
  <si>
    <t>Equity per share growing</t>
  </si>
  <si>
    <t>FCF yield</t>
  </si>
  <si>
    <t>FCF vs market cap</t>
  </si>
  <si>
    <t>Revenue growth (YoY)</t>
  </si>
  <si>
    <t>Top-line momentum</t>
  </si>
  <si>
    <t>Short-term solvency</t>
  </si>
  <si>
    <t>Bankruptcy risk</t>
  </si>
  <si>
    <t>Earnings quality</t>
  </si>
  <si>
    <t>Cash backing of earnings</t>
  </si>
  <si>
    <t>Return on capital</t>
  </si>
  <si>
    <t>Value creation vs capital</t>
  </si>
  <si>
    <t>Core profitability</t>
  </si>
  <si>
    <t>Debt repayment period</t>
  </si>
  <si>
    <t>Years of FCF to clear debt</t>
  </si>
  <si>
    <t>QUALITY SCORE</t>
  </si>
  <si>
    <t>Financial Health</t>
  </si>
  <si>
    <t>Altman Z-Score (bankruptcy risk)</t>
  </si>
  <si>
    <t>A: Working capital / assets</t>
  </si>
  <si>
    <t>B: Retained earnings / assets</t>
  </si>
  <si>
    <t>C: EBIT / assets</t>
  </si>
  <si>
    <t>D: Mkt equity / liabilities</t>
  </si>
  <si>
    <t>E: Sales / assets</t>
  </si>
  <si>
    <t>Earnings power &amp; quality</t>
  </si>
  <si>
    <t>Accrual ratio (NI vs FCF)</t>
  </si>
  <si>
    <t>Lower is better; high = earnings not backed by cash</t>
  </si>
  <si>
    <t>&gt;1 = earnings well backed by cash</t>
  </si>
  <si>
    <t>Return on capital (EBIT/cap)</t>
  </si>
  <si>
    <t>&gt;18% is strong</t>
  </si>
  <si>
    <t>Debt repayment period (yrs)</t>
  </si>
  <si>
    <t>&lt;5 yrs is healthy</t>
  </si>
  <si>
    <t>How to use this workbook</t>
  </si>
  <si>
    <t>WHAT THIS IS</t>
  </si>
  <si>
    <t>A clean rebuild of the Value Spreadsheet. Three intrinsic-value methods (P/E, DCF, ROE), a 14-factor</t>
  </si>
  <si>
    <t>quality scorecard, Altman Z-score and financial-health checks - all wired with native Excel formulas.</t>
  </si>
  <si>
    <t>No Google Finance / web-scraping functions (those were dead in Excel and broke the original).</t>
  </si>
  <si>
    <t>HOW THE TABS ARE SYNCED</t>
  </si>
  <si>
    <t>The 'Inputs' tab is the single hub. Every other tab references it, so when you change an input,</t>
  </si>
  <si>
    <t>the valuations, scorecard, health checks and dashboard all update instantly.</t>
  </si>
  <si>
    <t>Colour code:  BLUE = type/paste this   BLACK = calculated   GREEN = pulled from another tab.</t>
  </si>
  <si>
    <t>TO VALUE A DIFFERENT STOCK</t>
  </si>
  <si>
    <t>Quick way (valuations + most of the score):</t>
  </si>
  <si>
    <t xml:space="preserve">  1. On 'Inputs', overwrite the BLUE cells - ticker, price, shares, and the blue assumptions.</t>
  </si>
  <si>
    <t xml:space="preserve">  2. The TTM/balance-sheet inputs are GREEN (pulled from 'Financials'). To repoint them, update</t>
  </si>
  <si>
    <t xml:space="preserve">     the BLUE quarterly numbers on the 'Financials' tab (last 5 quarters from the company's</t>
  </si>
  <si>
    <t xml:space="preserve">     latest shareholder update / 10-Q). TTM and every ratio recalculate automatically.</t>
  </si>
  <si>
    <t>Full way (also enables trend scores): update all 5 quarters on 'Financials'.</t>
  </si>
  <si>
    <t>OR JUST ASK ME</t>
  </si>
  <si>
    <t>Tell me a ticker and I'll pull the latest figures and hand back a refreshed copy - that's the</t>
  </si>
  <si>
    <t>'type a ticker' experience without the fragile live functions. I can also schedule a weekly refresh.</t>
  </si>
  <si>
    <t>ASSUMPTIONS YOU SHOULD REVIEW (yellow-note cells on Inputs)</t>
  </si>
  <si>
    <t xml:space="preserve">  - Expected growth (next 5y): the single biggest driver. Set it to your own view, not hype.</t>
  </si>
  <si>
    <t xml:space="preserve">  - Discount rate, margin of safety, terminal multiple, P/E ceiling: your conservatism dials.</t>
  </si>
  <si>
    <t xml:space="preserve">  - Retained earnings: only affects Altman-Z slightly; estimate is fine.</t>
  </si>
  <si>
    <t>BUGS FIXED FROM THE ORIGINAL</t>
  </si>
  <si>
    <t xml:space="preserve">  - Removed all dead GoogleFinance/ImportHtml/ImportXml functions (the whole data engine).</t>
  </si>
  <si>
    <t xml:space="preserve">  - Replaced the hardcoded 1.09 'magic number' in the expected-return calc with a clean CAGR.</t>
  </si>
  <si>
    <t xml:space="preserve">  - Fixed the ROE-average fallback that referenced text cells.</t>
  </si>
  <si>
    <t xml:space="preserve">  - Cleaned up off-by-one references in the P/E and DCF growth ladders.</t>
  </si>
  <si>
    <t xml:space="preserve">  - Added IFERROR guards so there are no divide-by-zero, value or reference errors anywhere.</t>
  </si>
  <si>
    <t xml:space="preserve">  - Conservative-growth formula now handles negative-growth companies correctly (from v5.0.1).</t>
  </si>
  <si>
    <t>Data source for the TSLA example: Tesla Q1 2026 Shareholder Update, filed 22-Apr-2026; price from</t>
  </si>
  <si>
    <t>TradingView live quote, 28-Jun-2026.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</si>
</sst>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;&quot;($&quot;#,##0.00\);\-"/>
    <numFmt numFmtId="165" formatCode="0.0%;\(0.0%\);\-"/>
    <numFmt numFmtId="166" formatCode="#,##0;\(#,##0\);\-"/>
    <numFmt numFmtId="167" formatCode="0.0\x"/>
    <numFmt numFmtId="168" formatCode="#,##0.00;\(#,##0.00\);\-"/>
    <numFmt numFmtId="169" formatCode="0.0%"/>
    <numFmt numFmtId="170" formatCode="\$#,##0.00"/>
  </numFmts>
  <fonts count="30" x14ac:knownFonts="1">
    <font>
      <sz val="11"/>
      <color theme="1"/>
      <name val="Calibri"/>
      <scheme val="minor"/>
    </font>
    <font>
      <b/>
      <sz val="13"/>
      <color rgb="FFFFFFFF"/>
      <name val="Arial"/>
    </font>
    <font>
      <sz val="11"/>
      <name val="Calibri"/>
    </font>
    <font>
      <b/>
      <sz val="14"/>
      <color rgb="FF1F3864"/>
      <name val="Arial"/>
    </font>
    <font>
      <i/>
      <sz val="9"/>
      <color rgb="FF80808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16"/>
      <color rgb="FF1F3864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1F3864"/>
      <name val="Arial"/>
    </font>
    <font>
      <i/>
      <sz val="8"/>
      <color rgb="FF808080"/>
      <name val="Arial"/>
    </font>
    <font>
      <i/>
      <sz val="8"/>
      <color rgb="FFA0A0A0"/>
      <name val="Arial"/>
    </font>
    <font>
      <b/>
      <sz val="9"/>
      <color rgb="FF808080"/>
      <name val="Arial"/>
    </font>
    <font>
      <b/>
      <sz val="9"/>
      <color rgb="FF006100"/>
      <name val="Arial"/>
    </font>
    <font>
      <b/>
      <sz val="9"/>
      <color rgb="FF9C6500"/>
      <name val="Arial"/>
    </font>
    <font>
      <b/>
      <sz val="9"/>
      <color rgb="FF9C0006"/>
      <name val="Arial"/>
    </font>
    <font>
      <b/>
      <sz val="9"/>
      <color rgb="FFFFFFFF"/>
      <name val="Arial"/>
    </font>
    <font>
      <b/>
      <sz val="10"/>
      <color rgb="FF0000FF"/>
      <name val="Arial"/>
    </font>
    <font>
      <sz val="10"/>
      <color rgb="FF008000"/>
      <name val="Arial"/>
    </font>
    <font>
      <sz val="9"/>
      <color rgb="FF000000"/>
      <name val="Arial"/>
    </font>
    <font>
      <sz val="9"/>
      <color rgb="FF0000FF"/>
      <name val="Arial"/>
    </font>
    <font>
      <b/>
      <sz val="9"/>
      <color rgb="FF000000"/>
      <name val="Arial"/>
    </font>
    <font>
      <b/>
      <sz val="10"/>
      <color rgb="FF006100"/>
      <name val="Arial"/>
    </font>
    <font>
      <b/>
      <sz val="11"/>
      <color rgb="FF1F3864"/>
      <name val="Arial"/>
    </font>
    <font>
      <b/>
      <sz val="10"/>
      <color rgb="FF2E5C8A"/>
      <name val="Arial"/>
    </font>
    <font>
      <b/>
      <sz val="12"/>
      <color rgb="FFFFFFFF"/>
      <name val="Arial"/>
    </font>
    <font>
      <sz val="10"/>
      <color rgb="FFFFFFFF"/>
      <name val="Arial"/>
    </font>
    <font>
      <b/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5C8A"/>
        <bgColor rgb="FF2E5C8A"/>
      </patternFill>
    </fill>
    <fill>
      <patternFill patternType="solid">
        <fgColor rgb="FFFFF8E1"/>
        <bgColor rgb="FFFFF8E1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7030A0"/>
        <bgColor rgb="FF7030A0"/>
      </patternFill>
    </fill>
    <fill>
      <patternFill patternType="solid">
        <fgColor rgb="FFF2F2F2"/>
        <bgColor rgb="FFF2F2F2"/>
      </patternFill>
    </fill>
    <fill>
      <patternFill patternType="solid">
        <fgColor rgb="FFDDEBF7"/>
        <bgColor rgb="FFDDEBF7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2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5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49" fontId="19" fillId="9" borderId="12" xfId="0" applyNumberFormat="1" applyFont="1" applyFill="1" applyBorder="1" applyAlignment="1">
      <alignment horizontal="right" vertical="center"/>
    </xf>
    <xf numFmtId="164" fontId="19" fillId="9" borderId="12" xfId="0" applyNumberFormat="1" applyFont="1" applyFill="1" applyBorder="1" applyAlignment="1">
      <alignment horizontal="right" vertical="center"/>
    </xf>
    <xf numFmtId="166" fontId="19" fillId="9" borderId="12" xfId="0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5" fontId="19" fillId="9" borderId="12" xfId="0" applyNumberFormat="1" applyFont="1" applyFill="1" applyBorder="1" applyAlignment="1">
      <alignment horizontal="right" vertical="center"/>
    </xf>
    <xf numFmtId="167" fontId="19" fillId="9" borderId="12" xfId="0" applyNumberFormat="1" applyFont="1" applyFill="1" applyBorder="1" applyAlignment="1">
      <alignment horizontal="right" vertical="center"/>
    </xf>
    <xf numFmtId="0" fontId="6" fillId="10" borderId="12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166" fontId="22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168" fontId="22" fillId="0" borderId="0" xfId="0" applyNumberFormat="1" applyFont="1" applyAlignment="1">
      <alignment vertical="center"/>
    </xf>
    <xf numFmtId="168" fontId="23" fillId="0" borderId="0" xfId="0" applyNumberFormat="1" applyFont="1" applyAlignment="1">
      <alignment vertical="center"/>
    </xf>
    <xf numFmtId="0" fontId="6" fillId="10" borderId="12" xfId="0" applyFont="1" applyFill="1" applyBorder="1" applyAlignment="1">
      <alignment vertical="center"/>
    </xf>
    <xf numFmtId="165" fontId="21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5" fontId="20" fillId="0" borderId="0" xfId="0" applyNumberFormat="1" applyFont="1" applyAlignment="1">
      <alignment horizontal="right" vertical="center"/>
    </xf>
    <xf numFmtId="167" fontId="20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6" fillId="10" borderId="12" xfId="0" applyFont="1" applyFill="1" applyBorder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24" fillId="5" borderId="12" xfId="0" applyFont="1" applyFill="1" applyBorder="1" applyAlignment="1">
      <alignment vertical="center"/>
    </xf>
    <xf numFmtId="164" fontId="24" fillId="5" borderId="12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165" fontId="26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169" fontId="21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21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horizontal="right" vertical="center"/>
    </xf>
    <xf numFmtId="170" fontId="21" fillId="0" borderId="0" xfId="0" applyNumberFormat="1" applyFont="1" applyAlignment="1">
      <alignment horizontal="right" vertical="center"/>
    </xf>
    <xf numFmtId="0" fontId="27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2" fontId="27" fillId="2" borderId="12" xfId="0" applyNumberFormat="1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2" fontId="29" fillId="10" borderId="12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/>
    <xf numFmtId="0" fontId="13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8" fillId="4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40">
    <dxf>
      <font>
        <b/>
        <sz val="9"/>
        <color rgb="FFFFFFFF"/>
        <name val="Arial"/>
      </font>
      <fill>
        <patternFill patternType="solid">
          <fgColor rgb="FF7030A0"/>
          <bgColor rgb="FF7030A0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11"/>
        <color rgb="FFFFFFFF"/>
        <name val="Arial"/>
      </font>
      <fill>
        <patternFill patternType="solid">
          <fgColor rgb="FF7030A0"/>
          <bgColor rgb="FF7030A0"/>
        </patternFill>
      </fill>
    </dxf>
    <dxf>
      <font>
        <b/>
        <sz val="11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11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14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14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FFFFFF"/>
        <name val="Arial"/>
      </font>
      <fill>
        <patternFill patternType="solid">
          <fgColor rgb="FF7030A0"/>
          <bgColor rgb="FF7030A0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9"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sz val="14"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sz val="14"/>
        <color rgb="FF006100"/>
        <name val="Arial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showGridLines="0" workbookViewId="0">
      <selection sqref="A1:H1"/>
    </sheetView>
  </sheetViews>
  <sheetFormatPr defaultColWidth="14.42578125" defaultRowHeight="15" customHeight="1" x14ac:dyDescent="0.25"/>
  <cols>
    <col min="1" max="1" width="22" customWidth="1"/>
    <col min="2" max="2" width="16" customWidth="1"/>
    <col min="3" max="3" width="12.28515625" customWidth="1"/>
    <col min="4" max="4" width="22" customWidth="1"/>
    <col min="5" max="5" width="16" customWidth="1"/>
    <col min="6" max="6" width="4" customWidth="1"/>
    <col min="7" max="7" width="22" customWidth="1"/>
    <col min="8" max="8" width="16" customWidth="1"/>
    <col min="9" max="26" width="8.7109375" customWidth="1"/>
  </cols>
  <sheetData>
    <row r="1" spans="1:8" ht="24" customHeight="1" x14ac:dyDescent="0.25">
      <c r="A1" s="82" t="s">
        <v>0</v>
      </c>
      <c r="B1" s="72"/>
      <c r="C1" s="72"/>
      <c r="D1" s="72"/>
      <c r="E1" s="72"/>
      <c r="F1" s="72"/>
      <c r="G1" s="72"/>
      <c r="H1" s="73"/>
    </row>
    <row r="2" spans="1:8" ht="18" x14ac:dyDescent="0.25">
      <c r="A2" s="83" t="str">
        <f>Inputs!C5&amp;"  ("&amp;Inputs!C4&amp;" : "&amp;Inputs!C6&amp;")"</f>
        <v>Tesla, Inc.  (TSLA : NASDAQ)</v>
      </c>
      <c r="B2" s="69"/>
      <c r="C2" s="69"/>
      <c r="D2" s="69"/>
      <c r="E2" s="69"/>
      <c r="F2" s="84" t="str">
        <f ca="1">TEXT(NOW(),"dd-mmm-yyyy")</f>
        <v>29-Jul-2026</v>
      </c>
      <c r="G2" s="69"/>
      <c r="H2" s="69"/>
    </row>
    <row r="4" spans="1:8" x14ac:dyDescent="0.25">
      <c r="A4" s="71" t="s">
        <v>1</v>
      </c>
      <c r="B4" s="72"/>
      <c r="C4" s="72"/>
      <c r="D4" s="72"/>
      <c r="E4" s="72"/>
      <c r="F4" s="72"/>
      <c r="G4" s="72"/>
      <c r="H4" s="73"/>
    </row>
    <row r="5" spans="1:8" ht="20.25" x14ac:dyDescent="0.25">
      <c r="A5" s="1" t="s">
        <v>2</v>
      </c>
      <c r="B5" s="2">
        <f>Scorecard!C20</f>
        <v>61</v>
      </c>
      <c r="C5" s="3" t="s">
        <v>3</v>
      </c>
      <c r="D5" s="1" t="s">
        <v>4</v>
      </c>
      <c r="E5" s="4">
        <f>AVERAGE('PE Valuation'!B23,'DCF Valuation'!B33,'ROE Valuation'!B31)</f>
        <v>31.664591709369045</v>
      </c>
      <c r="G5" s="1" t="s">
        <v>5</v>
      </c>
      <c r="H5" s="5">
        <f>Inputs!C7</f>
        <v>379.71</v>
      </c>
    </row>
    <row r="6" spans="1:8" ht="18" x14ac:dyDescent="0.25">
      <c r="A6" s="1" t="s">
        <v>6</v>
      </c>
      <c r="B6" s="6">
        <f>E5/Inputs!C7-1</f>
        <v>-0.91660848618848845</v>
      </c>
      <c r="D6" s="1" t="s">
        <v>7</v>
      </c>
      <c r="E6" s="85" t="str">
        <f>IF(E5&gt;=Inputs!C7,"UNDERVALUED","OVERVALUED")</f>
        <v>OVERVALUED</v>
      </c>
      <c r="F6" s="69"/>
      <c r="G6" s="1" t="s">
        <v>8</v>
      </c>
      <c r="H6" s="6">
        <f>IFERROR((E5/Inputs!C7)^(1/5)-1,"n/a")</f>
        <v>-0.39155073399196372</v>
      </c>
    </row>
    <row r="7" spans="1:8" ht="18" x14ac:dyDescent="0.25">
      <c r="A7" s="1" t="s">
        <v>9</v>
      </c>
      <c r="B7" s="7">
        <f>E5*(1+Inputs!C39)^5/(1+Inputs!C37)^5</f>
        <v>24.222400491043157</v>
      </c>
      <c r="D7" s="1" t="s">
        <v>10</v>
      </c>
      <c r="E7" s="6">
        <f>IFERROR(B7/Inputs!C7-1,"n/a")</f>
        <v>-0.93620815756487019</v>
      </c>
    </row>
    <row r="9" spans="1:8" x14ac:dyDescent="0.25">
      <c r="A9" s="71" t="s">
        <v>11</v>
      </c>
      <c r="B9" s="72"/>
      <c r="C9" s="72"/>
      <c r="D9" s="72"/>
      <c r="E9" s="72"/>
      <c r="F9" s="72"/>
      <c r="G9" s="72"/>
      <c r="H9" s="73"/>
    </row>
    <row r="10" spans="1:8" ht="15.75" x14ac:dyDescent="0.25">
      <c r="A10" s="1" t="s">
        <v>12</v>
      </c>
      <c r="B10" s="8">
        <f>'PE Valuation'!B23</f>
        <v>34.504648813428211</v>
      </c>
      <c r="D10" s="1" t="s">
        <v>13</v>
      </c>
      <c r="E10" s="8">
        <f>'DCF Valuation'!B33</f>
        <v>51.181779234399798</v>
      </c>
      <c r="G10" s="1" t="s">
        <v>14</v>
      </c>
      <c r="H10" s="8">
        <f>'ROE Valuation'!B31</f>
        <v>9.3073470802791221</v>
      </c>
    </row>
    <row r="11" spans="1:8" x14ac:dyDescent="0.25">
      <c r="A11" s="9" t="str">
        <f>IF('PE Valuation'!B23&gt;=Inputs!C7,"above price","below price")</f>
        <v>below price</v>
      </c>
      <c r="D11" s="9" t="str">
        <f>IF('DCF Valuation'!B33&gt;=Inputs!C7,"above price","below price")</f>
        <v>below price</v>
      </c>
      <c r="G11" s="9" t="str">
        <f>IF('ROE Valuation'!B31&gt;=Inputs!C7,"above price","below price")</f>
        <v>below price</v>
      </c>
    </row>
    <row r="13" spans="1:8" x14ac:dyDescent="0.25">
      <c r="A13" s="71" t="s">
        <v>15</v>
      </c>
      <c r="B13" s="72"/>
      <c r="C13" s="72"/>
      <c r="D13" s="72"/>
      <c r="E13" s="72"/>
      <c r="F13" s="72"/>
      <c r="G13" s="72"/>
      <c r="H13" s="73"/>
    </row>
    <row r="14" spans="1:8" x14ac:dyDescent="0.25">
      <c r="A14" s="3" t="s">
        <v>16</v>
      </c>
      <c r="B14" s="10">
        <f>'Financial Health'!B10</f>
        <v>16.022730856076972</v>
      </c>
      <c r="C14" s="3"/>
      <c r="D14" s="1" t="str">
        <f>IF(B14&gt;=3,"Safe",IF(B14&gt;=1.8,"Grey","Distress"))</f>
        <v>Safe</v>
      </c>
    </row>
    <row r="15" spans="1:8" x14ac:dyDescent="0.25">
      <c r="A15" s="3" t="s">
        <v>17</v>
      </c>
      <c r="B15" s="10">
        <f>Ratios!F9</f>
        <v>2.0431191048098891</v>
      </c>
      <c r="C15" s="3"/>
      <c r="D15" s="1" t="str">
        <f>IF(Ratios!F9&gt;=2,"Strong",IF(Ratios!F9&gt;=1,"OK","Weak"))</f>
        <v>Strong</v>
      </c>
    </row>
    <row r="16" spans="1:8" x14ac:dyDescent="0.25">
      <c r="A16" s="3" t="s">
        <v>18</v>
      </c>
      <c r="B16" s="10">
        <f>Ratios!F10</f>
        <v>0.10971753293071473</v>
      </c>
      <c r="C16" s="3"/>
      <c r="D16" s="1" t="str">
        <f>IF(Ratios!F10&lt;=0.5,"Low",IF(Ratios!F10&lt;=1,"Moderate","High"))</f>
        <v>Low</v>
      </c>
    </row>
    <row r="17" spans="1:8" x14ac:dyDescent="0.25">
      <c r="A17" s="3" t="s">
        <v>19</v>
      </c>
      <c r="B17" s="10">
        <f>'Financial Health'!B14</f>
        <v>1.8125323666494044</v>
      </c>
      <c r="C17" s="3"/>
      <c r="D17" s="1" t="str">
        <f>IF('Financial Health'!B14&gt;=0.8,"High quality",IF('Financial Health'!B14&gt;=0.5,"OK","Weak"))</f>
        <v>High quality</v>
      </c>
    </row>
    <row r="18" spans="1:8" x14ac:dyDescent="0.25">
      <c r="A18" s="3" t="s">
        <v>20</v>
      </c>
      <c r="B18" s="11">
        <f>Inputs!C33</f>
        <v>4.2963111550920099E-2</v>
      </c>
      <c r="C18" s="3"/>
      <c r="D18" s="1" t="str">
        <f>IF(Inputs!C33&gt;=0.15,"Strong",IF(Inputs!C33&gt;=0.1,"OK","Weak"))</f>
        <v>Weak</v>
      </c>
    </row>
    <row r="19" spans="1:8" x14ac:dyDescent="0.25">
      <c r="A19" s="3" t="s">
        <v>21</v>
      </c>
      <c r="B19" s="10">
        <f>'Financial Health'!B16</f>
        <v>1.3184285714285715</v>
      </c>
      <c r="C19" s="3"/>
      <c r="D19" s="1" t="str">
        <f>IF('Financial Health'!B16&lt;=3,"Fast",IF('Financial Health'!B16&lt;=5,"OK","Slow"))</f>
        <v>Fast</v>
      </c>
    </row>
    <row r="21" spans="1:8" ht="15.75" customHeight="1" x14ac:dyDescent="0.25">
      <c r="A21" s="68" t="s">
        <v>22</v>
      </c>
      <c r="B21" s="69"/>
      <c r="C21" s="69"/>
      <c r="D21" s="69"/>
      <c r="E21" s="69"/>
      <c r="F21" s="69"/>
      <c r="G21" s="69"/>
      <c r="H21" s="69"/>
    </row>
    <row r="22" spans="1:8" ht="15.75" customHeight="1" x14ac:dyDescent="0.25">
      <c r="A22" s="70" t="s">
        <v>23</v>
      </c>
      <c r="B22" s="69"/>
      <c r="C22" s="69"/>
      <c r="D22" s="69"/>
      <c r="E22" s="69"/>
      <c r="F22" s="69"/>
      <c r="G22" s="69"/>
      <c r="H22" s="69"/>
    </row>
    <row r="23" spans="1:8" ht="15.75" customHeight="1" x14ac:dyDescent="0.25"/>
    <row r="24" spans="1:8" ht="15.75" customHeight="1" x14ac:dyDescent="0.25">
      <c r="A24" s="71" t="s">
        <v>24</v>
      </c>
      <c r="B24" s="72"/>
      <c r="C24" s="72"/>
      <c r="D24" s="72"/>
      <c r="E24" s="72"/>
      <c r="F24" s="72"/>
      <c r="G24" s="72"/>
      <c r="H24" s="73"/>
    </row>
    <row r="25" spans="1:8" ht="15" customHeight="1" x14ac:dyDescent="0.25">
      <c r="A25" s="74" t="str">
        <f>"At $"&amp;TEXT(Inputs!C7,"#,##0.00")&amp;", "&amp;Inputs!C5&amp;" screens "&amp;IF(E5&gt;=Inputs!C7,"UNDERVALUED. ","OVERVALUED. ")&amp;"The P/E, DCF and ROE methods average $"&amp;TEXT(E5,"#,##0.00")&amp;" per share, a "&amp;TEXT(B6,"0%")&amp;" gap to the current price. Quality score is "&amp;TEXT(Scorecard!C20,"0")&amp;"/100"&amp;", and the Altman Z-Score of "&amp;TEXT('Financial Health'!B10,"0.0")&amp;" signals "&amp;IF('Financial Health'!B10&gt;=3,"low bankruptcy risk. ",IF('Financial Health'!B10&gt;=1.8,"moderate risk. ","elevated risk. "))&amp;"For a "&amp;TEXT(Inputs!C37,"0%")&amp;" annual return, the most you should pay is about $"&amp;TEXT(B7,"#,##0.00")&amp;"."</f>
        <v>At $379.71, Tesla, Inc. screens OVERVALUED. The P/E, DCF and ROE methods average $31.66 per share, a -92% gap to the current price. Quality score is 61/100, and the Altman Z-Score of 16.0 signals low bankruptcy risk. For a 15% annual return, the most you should pay is about $24.22.</v>
      </c>
      <c r="B25" s="75"/>
      <c r="C25" s="75"/>
      <c r="D25" s="75"/>
      <c r="E25" s="75"/>
      <c r="F25" s="75"/>
      <c r="G25" s="75"/>
      <c r="H25" s="76"/>
    </row>
    <row r="26" spans="1:8" ht="15" customHeight="1" x14ac:dyDescent="0.25">
      <c r="A26" s="77"/>
      <c r="B26" s="69"/>
      <c r="C26" s="69"/>
      <c r="D26" s="69"/>
      <c r="E26" s="69"/>
      <c r="F26" s="69"/>
      <c r="G26" s="69"/>
      <c r="H26" s="78"/>
    </row>
    <row r="27" spans="1:8" ht="15" customHeight="1" x14ac:dyDescent="0.25">
      <c r="A27" s="77"/>
      <c r="B27" s="69"/>
      <c r="C27" s="69"/>
      <c r="D27" s="69"/>
      <c r="E27" s="69"/>
      <c r="F27" s="69"/>
      <c r="G27" s="69"/>
      <c r="H27" s="78"/>
    </row>
    <row r="28" spans="1:8" ht="15" customHeight="1" x14ac:dyDescent="0.25">
      <c r="A28" s="77"/>
      <c r="B28" s="69"/>
      <c r="C28" s="69"/>
      <c r="D28" s="69"/>
      <c r="E28" s="69"/>
      <c r="F28" s="69"/>
      <c r="G28" s="69"/>
      <c r="H28" s="78"/>
    </row>
    <row r="29" spans="1:8" ht="15" customHeight="1" x14ac:dyDescent="0.25">
      <c r="A29" s="77"/>
      <c r="B29" s="69"/>
      <c r="C29" s="69"/>
      <c r="D29" s="69"/>
      <c r="E29" s="69"/>
      <c r="F29" s="69"/>
      <c r="G29" s="69"/>
      <c r="H29" s="78"/>
    </row>
    <row r="30" spans="1:8" ht="15" customHeight="1" x14ac:dyDescent="0.25">
      <c r="A30" s="79"/>
      <c r="B30" s="80"/>
      <c r="C30" s="80"/>
      <c r="D30" s="80"/>
      <c r="E30" s="80"/>
      <c r="F30" s="80"/>
      <c r="G30" s="80"/>
      <c r="H30" s="81"/>
    </row>
    <row r="31" spans="1:8" ht="15.75" customHeight="1" x14ac:dyDescent="0.25">
      <c r="A31" s="12" t="s">
        <v>25</v>
      </c>
      <c r="B31" s="13" t="s">
        <v>26</v>
      </c>
      <c r="C31" s="14" t="s">
        <v>27</v>
      </c>
      <c r="D31" s="15" t="s">
        <v>28</v>
      </c>
      <c r="E31" s="16" t="s">
        <v>29</v>
      </c>
    </row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A21:H21"/>
    <mergeCell ref="A22:H22"/>
    <mergeCell ref="A24:H24"/>
    <mergeCell ref="A25:H30"/>
    <mergeCell ref="A1:H1"/>
    <mergeCell ref="A2:E2"/>
    <mergeCell ref="F2:H2"/>
    <mergeCell ref="A4:H4"/>
    <mergeCell ref="E6:F6"/>
    <mergeCell ref="A9:H9"/>
    <mergeCell ref="A13:H13"/>
  </mergeCells>
  <conditionalFormatting sqref="B6">
    <cfRule type="cellIs" dxfId="39" priority="3" operator="greaterThanOrEqual">
      <formula>0</formula>
    </cfRule>
    <cfRule type="cellIs" dxfId="38" priority="4" operator="lessThan">
      <formula>0</formula>
    </cfRule>
  </conditionalFormatting>
  <conditionalFormatting sqref="D14:D19">
    <cfRule type="cellIs" dxfId="37" priority="5" operator="equal">
      <formula>"Safe"</formula>
    </cfRule>
    <cfRule type="cellIs" dxfId="36" priority="6" operator="equal">
      <formula>"Strong"</formula>
    </cfRule>
    <cfRule type="cellIs" dxfId="35" priority="7" operator="equal">
      <formula>"Low"</formula>
    </cfRule>
    <cfRule type="cellIs" dxfId="34" priority="8" operator="equal">
      <formula>"High quality"</formula>
    </cfRule>
    <cfRule type="cellIs" dxfId="33" priority="9" operator="equal">
      <formula>"Fast"</formula>
    </cfRule>
    <cfRule type="cellIs" dxfId="32" priority="10" operator="equal">
      <formula>"Grey"</formula>
    </cfRule>
    <cfRule type="cellIs" dxfId="31" priority="11" operator="equal">
      <formula>"Moderate"</formula>
    </cfRule>
    <cfRule type="cellIs" dxfId="30" priority="12" operator="equal">
      <formula>"OK"</formula>
    </cfRule>
    <cfRule type="cellIs" dxfId="29" priority="13" operator="equal">
      <formula>"Weak"</formula>
    </cfRule>
    <cfRule type="cellIs" dxfId="28" priority="14" operator="equal">
      <formula>"Slow"</formula>
    </cfRule>
    <cfRule type="cellIs" dxfId="27" priority="15" operator="equal">
      <formula>"High"</formula>
    </cfRule>
    <cfRule type="cellIs" dxfId="26" priority="16" operator="equal">
      <formula>"Distress"</formula>
    </cfRule>
  </conditionalFormatting>
  <conditionalFormatting sqref="E6">
    <cfRule type="cellIs" dxfId="25" priority="1" operator="equal">
      <formula>"UNDERVALUED"</formula>
    </cfRule>
    <cfRule type="cellIs" dxfId="24" priority="2" operator="equal">
      <formula>"OVERVALUED"</formula>
    </cfRule>
  </conditionalFormatting>
  <pageMargins left="0.75" right="0.75" top="1" bottom="1" header="0" footer="0"/>
  <pageSetup paperSize="9"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0"/>
  <sheetViews>
    <sheetView showGridLines="0" workbookViewId="0"/>
  </sheetViews>
  <sheetFormatPr defaultColWidth="14.42578125" defaultRowHeight="15" customHeight="1" x14ac:dyDescent="0.25"/>
  <cols>
    <col min="1" max="1" width="110" customWidth="1"/>
    <col min="2" max="26" width="8.7109375" customWidth="1"/>
  </cols>
  <sheetData>
    <row r="1" spans="1:1" ht="24" customHeight="1" x14ac:dyDescent="0.25">
      <c r="A1" s="67" t="s">
        <v>216</v>
      </c>
    </row>
    <row r="2" spans="1:1" x14ac:dyDescent="0.25">
      <c r="A2" s="3"/>
    </row>
    <row r="3" spans="1:1" x14ac:dyDescent="0.25">
      <c r="A3" s="44" t="s">
        <v>217</v>
      </c>
    </row>
    <row r="4" spans="1:1" x14ac:dyDescent="0.25">
      <c r="A4" s="3" t="s">
        <v>218</v>
      </c>
    </row>
    <row r="5" spans="1:1" x14ac:dyDescent="0.25">
      <c r="A5" s="3" t="s">
        <v>219</v>
      </c>
    </row>
    <row r="6" spans="1:1" x14ac:dyDescent="0.25">
      <c r="A6" s="3" t="s">
        <v>220</v>
      </c>
    </row>
    <row r="7" spans="1:1" x14ac:dyDescent="0.25">
      <c r="A7" s="3"/>
    </row>
    <row r="8" spans="1:1" x14ac:dyDescent="0.25">
      <c r="A8" s="44" t="s">
        <v>221</v>
      </c>
    </row>
    <row r="9" spans="1:1" x14ac:dyDescent="0.25">
      <c r="A9" s="3" t="s">
        <v>222</v>
      </c>
    </row>
    <row r="10" spans="1:1" x14ac:dyDescent="0.25">
      <c r="A10" s="3" t="s">
        <v>223</v>
      </c>
    </row>
    <row r="11" spans="1:1" x14ac:dyDescent="0.25">
      <c r="A11" s="3" t="s">
        <v>224</v>
      </c>
    </row>
    <row r="12" spans="1:1" x14ac:dyDescent="0.25">
      <c r="A12" s="3"/>
    </row>
    <row r="13" spans="1:1" x14ac:dyDescent="0.25">
      <c r="A13" s="44" t="s">
        <v>225</v>
      </c>
    </row>
    <row r="14" spans="1:1" x14ac:dyDescent="0.25">
      <c r="A14" s="3" t="s">
        <v>226</v>
      </c>
    </row>
    <row r="15" spans="1:1" x14ac:dyDescent="0.25">
      <c r="A15" s="3" t="s">
        <v>227</v>
      </c>
    </row>
    <row r="16" spans="1:1" x14ac:dyDescent="0.25">
      <c r="A16" s="3" t="s">
        <v>228</v>
      </c>
    </row>
    <row r="17" spans="1:1" x14ac:dyDescent="0.25">
      <c r="A17" s="3" t="s">
        <v>229</v>
      </c>
    </row>
    <row r="18" spans="1:1" x14ac:dyDescent="0.25">
      <c r="A18" s="3" t="s">
        <v>230</v>
      </c>
    </row>
    <row r="19" spans="1:1" x14ac:dyDescent="0.25">
      <c r="A19" s="3" t="s">
        <v>231</v>
      </c>
    </row>
    <row r="20" spans="1:1" x14ac:dyDescent="0.25">
      <c r="A20" s="3"/>
    </row>
    <row r="21" spans="1:1" ht="15.75" customHeight="1" x14ac:dyDescent="0.25">
      <c r="A21" s="44" t="s">
        <v>232</v>
      </c>
    </row>
    <row r="22" spans="1:1" ht="15.75" customHeight="1" x14ac:dyDescent="0.25">
      <c r="A22" s="3" t="s">
        <v>233</v>
      </c>
    </row>
    <row r="23" spans="1:1" ht="15.75" customHeight="1" x14ac:dyDescent="0.25">
      <c r="A23" s="3" t="s">
        <v>234</v>
      </c>
    </row>
    <row r="24" spans="1:1" ht="15.75" customHeight="1" x14ac:dyDescent="0.25">
      <c r="A24" s="3"/>
    </row>
    <row r="25" spans="1:1" ht="15.75" customHeight="1" x14ac:dyDescent="0.25">
      <c r="A25" s="3" t="s">
        <v>235</v>
      </c>
    </row>
    <row r="26" spans="1:1" ht="15.75" customHeight="1" x14ac:dyDescent="0.25">
      <c r="A26" s="3" t="s">
        <v>236</v>
      </c>
    </row>
    <row r="27" spans="1:1" ht="15.75" customHeight="1" x14ac:dyDescent="0.25">
      <c r="A27" s="3" t="s">
        <v>237</v>
      </c>
    </row>
    <row r="28" spans="1:1" ht="15.75" customHeight="1" x14ac:dyDescent="0.25">
      <c r="A28" s="3" t="s">
        <v>238</v>
      </c>
    </row>
    <row r="29" spans="1:1" ht="15.75" customHeight="1" x14ac:dyDescent="0.25">
      <c r="A29" s="3"/>
    </row>
    <row r="30" spans="1:1" ht="15.75" customHeight="1" x14ac:dyDescent="0.25">
      <c r="A30" s="44" t="s">
        <v>239</v>
      </c>
    </row>
    <row r="31" spans="1:1" ht="15.75" customHeight="1" x14ac:dyDescent="0.25">
      <c r="A31" s="3" t="s">
        <v>240</v>
      </c>
    </row>
    <row r="32" spans="1:1" ht="15.75" customHeight="1" x14ac:dyDescent="0.25">
      <c r="A32" s="3" t="s">
        <v>241</v>
      </c>
    </row>
    <row r="33" spans="1:1" ht="15.75" customHeight="1" x14ac:dyDescent="0.25">
      <c r="A33" s="3" t="s">
        <v>242</v>
      </c>
    </row>
    <row r="34" spans="1:1" ht="15.75" customHeight="1" x14ac:dyDescent="0.25">
      <c r="A34" s="3" t="s">
        <v>243</v>
      </c>
    </row>
    <row r="35" spans="1:1" ht="15.75" customHeight="1" x14ac:dyDescent="0.25">
      <c r="A35" s="3" t="s">
        <v>244</v>
      </c>
    </row>
    <row r="36" spans="1:1" ht="15.75" customHeight="1" x14ac:dyDescent="0.25">
      <c r="A36" s="3" t="s">
        <v>245</v>
      </c>
    </row>
    <row r="37" spans="1:1" ht="15.75" customHeight="1" x14ac:dyDescent="0.25">
      <c r="A37" s="3"/>
    </row>
    <row r="38" spans="1:1" ht="15.75" customHeight="1" x14ac:dyDescent="0.25">
      <c r="A38" s="3" t="s">
        <v>246</v>
      </c>
    </row>
    <row r="39" spans="1:1" ht="15.75" customHeight="1" x14ac:dyDescent="0.25">
      <c r="A39" s="3" t="s">
        <v>247</v>
      </c>
    </row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showGridLines="0" workbookViewId="0">
      <selection sqref="A1:D1"/>
    </sheetView>
  </sheetViews>
  <sheetFormatPr defaultColWidth="14.42578125" defaultRowHeight="15" customHeight="1" x14ac:dyDescent="0.25"/>
  <cols>
    <col min="1" max="1" width="34" customWidth="1"/>
    <col min="2" max="2" width="3" customWidth="1"/>
    <col min="3" max="3" width="15" customWidth="1"/>
    <col min="4" max="4" width="22" customWidth="1"/>
    <col min="5" max="26" width="8.7109375" customWidth="1"/>
  </cols>
  <sheetData>
    <row r="1" spans="1:4" ht="24" customHeight="1" x14ac:dyDescent="0.25">
      <c r="A1" s="82" t="s">
        <v>30</v>
      </c>
      <c r="B1" s="72"/>
      <c r="C1" s="72"/>
      <c r="D1" s="73"/>
    </row>
    <row r="2" spans="1:4" x14ac:dyDescent="0.25">
      <c r="A2" s="68" t="s">
        <v>31</v>
      </c>
      <c r="B2" s="69"/>
      <c r="C2" s="69"/>
      <c r="D2" s="69"/>
    </row>
    <row r="3" spans="1:4" x14ac:dyDescent="0.25">
      <c r="A3" s="71" t="s">
        <v>32</v>
      </c>
      <c r="B3" s="72"/>
      <c r="C3" s="72"/>
      <c r="D3" s="73"/>
    </row>
    <row r="4" spans="1:4" x14ac:dyDescent="0.25">
      <c r="A4" s="3" t="s">
        <v>33</v>
      </c>
      <c r="C4" s="17" t="s">
        <v>34</v>
      </c>
      <c r="D4" s="9" t="s">
        <v>35</v>
      </c>
    </row>
    <row r="5" spans="1:4" x14ac:dyDescent="0.25">
      <c r="A5" s="3" t="s">
        <v>36</v>
      </c>
      <c r="C5" s="17" t="s">
        <v>37</v>
      </c>
    </row>
    <row r="6" spans="1:4" x14ac:dyDescent="0.25">
      <c r="A6" s="3" t="s">
        <v>38</v>
      </c>
      <c r="C6" s="17" t="s">
        <v>39</v>
      </c>
    </row>
    <row r="7" spans="1:4" x14ac:dyDescent="0.25">
      <c r="A7" s="3" t="s">
        <v>40</v>
      </c>
      <c r="C7" s="18">
        <v>379.71</v>
      </c>
      <c r="D7" s="9" t="s">
        <v>41</v>
      </c>
    </row>
    <row r="8" spans="1:4" x14ac:dyDescent="0.25">
      <c r="A8" s="3" t="s">
        <v>42</v>
      </c>
      <c r="C8" s="19">
        <v>3756</v>
      </c>
    </row>
    <row r="9" spans="1:4" x14ac:dyDescent="0.25">
      <c r="A9" s="3" t="s">
        <v>43</v>
      </c>
      <c r="C9" s="20">
        <f>C7*C8</f>
        <v>1426190.76</v>
      </c>
      <c r="D9" s="9" t="s">
        <v>44</v>
      </c>
    </row>
    <row r="11" spans="1:4" x14ac:dyDescent="0.25">
      <c r="A11" s="71" t="s">
        <v>45</v>
      </c>
      <c r="B11" s="72"/>
      <c r="C11" s="72"/>
      <c r="D11" s="73"/>
    </row>
    <row r="12" spans="1:4" x14ac:dyDescent="0.25">
      <c r="A12" s="3" t="s">
        <v>46</v>
      </c>
      <c r="C12" s="21">
        <f>Financials!G21</f>
        <v>1.0900000000000001</v>
      </c>
      <c r="D12" s="9" t="s">
        <v>47</v>
      </c>
    </row>
    <row r="13" spans="1:4" x14ac:dyDescent="0.25">
      <c r="A13" s="3" t="s">
        <v>48</v>
      </c>
      <c r="C13" s="22">
        <f>Financials!G6</f>
        <v>97879</v>
      </c>
    </row>
    <row r="14" spans="1:4" x14ac:dyDescent="0.25">
      <c r="A14" s="3" t="s">
        <v>49</v>
      </c>
      <c r="C14" s="22">
        <f>Financials!G20</f>
        <v>3862</v>
      </c>
    </row>
    <row r="15" spans="1:4" x14ac:dyDescent="0.25">
      <c r="A15" s="3" t="s">
        <v>50</v>
      </c>
      <c r="C15" s="22">
        <f>Financials!G13</f>
        <v>4897</v>
      </c>
    </row>
    <row r="16" spans="1:4" x14ac:dyDescent="0.25">
      <c r="A16" s="3" t="s">
        <v>51</v>
      </c>
      <c r="C16" s="22">
        <f>Financials!G30</f>
        <v>7000</v>
      </c>
    </row>
    <row r="17" spans="1:4" x14ac:dyDescent="0.25">
      <c r="A17" s="3" t="s">
        <v>52</v>
      </c>
      <c r="C17" s="18">
        <v>0</v>
      </c>
    </row>
    <row r="19" spans="1:4" x14ac:dyDescent="0.25">
      <c r="A19" s="71" t="s">
        <v>53</v>
      </c>
      <c r="B19" s="72"/>
      <c r="C19" s="72"/>
      <c r="D19" s="73"/>
    </row>
    <row r="20" spans="1:4" x14ac:dyDescent="0.25">
      <c r="A20" s="3" t="s">
        <v>54</v>
      </c>
      <c r="C20" s="22">
        <f>Financials!G34</f>
        <v>44743</v>
      </c>
    </row>
    <row r="21" spans="1:4" ht="15.75" customHeight="1" x14ac:dyDescent="0.25">
      <c r="A21" s="3" t="s">
        <v>55</v>
      </c>
      <c r="C21" s="22">
        <f>Financials!G38+Financials!G39</f>
        <v>9229</v>
      </c>
    </row>
    <row r="22" spans="1:4" ht="15.75" customHeight="1" x14ac:dyDescent="0.25">
      <c r="A22" s="3" t="s">
        <v>56</v>
      </c>
      <c r="C22" s="22">
        <f>Financials!G41</f>
        <v>84116</v>
      </c>
    </row>
    <row r="23" spans="1:4" ht="15.75" customHeight="1" x14ac:dyDescent="0.25">
      <c r="A23" s="3" t="s">
        <v>57</v>
      </c>
      <c r="C23" s="22">
        <f>Financials!G35</f>
        <v>69748</v>
      </c>
    </row>
    <row r="24" spans="1:4" ht="15.75" customHeight="1" x14ac:dyDescent="0.25">
      <c r="A24" s="3" t="s">
        <v>58</v>
      </c>
      <c r="C24" s="22">
        <f>Financials!G37</f>
        <v>34138</v>
      </c>
    </row>
    <row r="25" spans="1:4" ht="15.75" customHeight="1" x14ac:dyDescent="0.25">
      <c r="A25" s="3" t="s">
        <v>59</v>
      </c>
      <c r="C25" s="22">
        <f>Financials!G36</f>
        <v>143724</v>
      </c>
    </row>
    <row r="26" spans="1:4" ht="15.75" customHeight="1" x14ac:dyDescent="0.25">
      <c r="A26" s="3" t="s">
        <v>60</v>
      </c>
      <c r="C26" s="22">
        <f>Financials!G40</f>
        <v>58922</v>
      </c>
    </row>
    <row r="27" spans="1:4" ht="15.75" customHeight="1" x14ac:dyDescent="0.25">
      <c r="A27" s="3" t="s">
        <v>61</v>
      </c>
      <c r="C27" s="19">
        <v>42000</v>
      </c>
    </row>
    <row r="28" spans="1:4" ht="15.75" customHeight="1" x14ac:dyDescent="0.25"/>
    <row r="29" spans="1:4" ht="15.75" customHeight="1" x14ac:dyDescent="0.25">
      <c r="A29" s="71" t="s">
        <v>62</v>
      </c>
      <c r="B29" s="72"/>
      <c r="C29" s="72"/>
      <c r="D29" s="73"/>
    </row>
    <row r="30" spans="1:4" ht="15.75" customHeight="1" x14ac:dyDescent="0.25">
      <c r="A30" s="3" t="s">
        <v>63</v>
      </c>
      <c r="C30" s="23">
        <v>0.15</v>
      </c>
    </row>
    <row r="31" spans="1:4" ht="15.75" customHeight="1" x14ac:dyDescent="0.25">
      <c r="A31" s="3" t="s">
        <v>64</v>
      </c>
      <c r="C31" s="23">
        <v>-7.0000000000000007E-2</v>
      </c>
    </row>
    <row r="32" spans="1:4" ht="15.75" customHeight="1" x14ac:dyDescent="0.25">
      <c r="A32" s="3" t="s">
        <v>65</v>
      </c>
      <c r="C32" s="24">
        <v>60</v>
      </c>
    </row>
    <row r="33" spans="1:4" ht="15.75" customHeight="1" x14ac:dyDescent="0.25">
      <c r="A33" s="3" t="s">
        <v>66</v>
      </c>
      <c r="C33" s="11">
        <f>AVERAGE(Ratios!B7:F7)</f>
        <v>4.2963111550920099E-2</v>
      </c>
    </row>
    <row r="34" spans="1:4" ht="15.75" customHeight="1" x14ac:dyDescent="0.25">
      <c r="A34" s="3" t="s">
        <v>67</v>
      </c>
      <c r="C34" s="23">
        <v>0.1</v>
      </c>
    </row>
    <row r="35" spans="1:4" ht="15.75" customHeight="1" x14ac:dyDescent="0.25"/>
    <row r="36" spans="1:4" ht="15.75" customHeight="1" x14ac:dyDescent="0.25">
      <c r="A36" s="71" t="s">
        <v>68</v>
      </c>
      <c r="B36" s="72"/>
      <c r="C36" s="72"/>
      <c r="D36" s="73"/>
    </row>
    <row r="37" spans="1:4" ht="15.75" customHeight="1" x14ac:dyDescent="0.25">
      <c r="A37" s="3" t="s">
        <v>69</v>
      </c>
      <c r="C37" s="23">
        <v>0.15</v>
      </c>
    </row>
    <row r="38" spans="1:4" ht="15.75" customHeight="1" x14ac:dyDescent="0.25">
      <c r="A38" s="3" t="s">
        <v>70</v>
      </c>
      <c r="C38" s="23">
        <v>0.25</v>
      </c>
    </row>
    <row r="39" spans="1:4" ht="15.75" customHeight="1" x14ac:dyDescent="0.25">
      <c r="A39" s="3" t="s">
        <v>71</v>
      </c>
      <c r="C39" s="23">
        <v>0.09</v>
      </c>
    </row>
    <row r="40" spans="1:4" ht="15.75" customHeight="1" x14ac:dyDescent="0.25">
      <c r="A40" s="3" t="s">
        <v>72</v>
      </c>
      <c r="C40" s="23">
        <v>0.05</v>
      </c>
    </row>
    <row r="41" spans="1:4" ht="15.75" customHeight="1" x14ac:dyDescent="0.25">
      <c r="A41" s="3" t="s">
        <v>73</v>
      </c>
      <c r="C41" s="24">
        <v>12</v>
      </c>
    </row>
    <row r="42" spans="1:4" ht="15.75" customHeight="1" x14ac:dyDescent="0.25">
      <c r="A42" s="3" t="s">
        <v>74</v>
      </c>
      <c r="C42" s="24">
        <v>30</v>
      </c>
    </row>
    <row r="43" spans="1:4" ht="15.75" customHeight="1" x14ac:dyDescent="0.25"/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29:D29"/>
    <mergeCell ref="A36:D36"/>
    <mergeCell ref="A1:D1"/>
    <mergeCell ref="A2:D2"/>
    <mergeCell ref="A3:D3"/>
    <mergeCell ref="A11:D11"/>
    <mergeCell ref="A19:D19"/>
  </mergeCells>
  <pageMargins left="0.75" right="0.75" top="1" bottom="1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showGridLines="0" workbookViewId="0">
      <selection sqref="A1:G1"/>
    </sheetView>
  </sheetViews>
  <sheetFormatPr defaultColWidth="14.42578125" defaultRowHeight="15" customHeight="1" x14ac:dyDescent="0.25"/>
  <cols>
    <col min="1" max="1" width="30" customWidth="1"/>
    <col min="2" max="6" width="11" customWidth="1"/>
    <col min="7" max="7" width="13" customWidth="1"/>
    <col min="8" max="26" width="8.7109375" customWidth="1"/>
  </cols>
  <sheetData>
    <row r="1" spans="1:7" ht="24" customHeight="1" x14ac:dyDescent="0.25">
      <c r="A1" s="82" t="s">
        <v>75</v>
      </c>
      <c r="B1" s="72"/>
      <c r="C1" s="72"/>
      <c r="D1" s="72"/>
      <c r="E1" s="72"/>
      <c r="F1" s="72"/>
      <c r="G1" s="73"/>
    </row>
    <row r="2" spans="1:7" x14ac:dyDescent="0.25">
      <c r="A2" s="68" t="s">
        <v>76</v>
      </c>
      <c r="B2" s="69"/>
      <c r="C2" s="69"/>
      <c r="D2" s="69"/>
      <c r="E2" s="69"/>
      <c r="F2" s="69"/>
      <c r="G2" s="69"/>
    </row>
    <row r="4" spans="1:7" x14ac:dyDescent="0.25">
      <c r="A4" s="71" t="s">
        <v>77</v>
      </c>
      <c r="B4" s="72"/>
      <c r="C4" s="72"/>
      <c r="D4" s="72"/>
      <c r="E4" s="72"/>
      <c r="F4" s="72"/>
      <c r="G4" s="73"/>
    </row>
    <row r="5" spans="1:7" x14ac:dyDescent="0.25">
      <c r="A5" s="3"/>
      <c r="B5" s="25" t="s">
        <v>78</v>
      </c>
      <c r="C5" s="25" t="s">
        <v>79</v>
      </c>
      <c r="D5" s="25" t="s">
        <v>80</v>
      </c>
      <c r="E5" s="25" t="s">
        <v>81</v>
      </c>
      <c r="F5" s="25" t="s">
        <v>82</v>
      </c>
      <c r="G5" s="26" t="s">
        <v>83</v>
      </c>
    </row>
    <row r="6" spans="1:7" x14ac:dyDescent="0.25">
      <c r="A6" s="27" t="s">
        <v>84</v>
      </c>
      <c r="B6" s="28">
        <v>19335</v>
      </c>
      <c r="C6" s="28">
        <v>22496</v>
      </c>
      <c r="D6" s="28">
        <v>28095</v>
      </c>
      <c r="E6" s="28">
        <v>24901</v>
      </c>
      <c r="F6" s="28">
        <v>22387</v>
      </c>
      <c r="G6" s="29">
        <f t="shared" ref="G6:G21" si="0">SUM(D6:F6)+C6</f>
        <v>97879</v>
      </c>
    </row>
    <row r="7" spans="1:7" x14ac:dyDescent="0.25">
      <c r="A7" s="27" t="s">
        <v>85</v>
      </c>
      <c r="B7" s="28">
        <v>16182</v>
      </c>
      <c r="C7" s="28">
        <v>18618</v>
      </c>
      <c r="D7" s="28">
        <v>23041</v>
      </c>
      <c r="E7" s="28">
        <v>19892</v>
      </c>
      <c r="F7" s="28">
        <v>17667</v>
      </c>
      <c r="G7" s="29">
        <f t="shared" si="0"/>
        <v>79218</v>
      </c>
    </row>
    <row r="8" spans="1:7" x14ac:dyDescent="0.25">
      <c r="A8" s="27" t="s">
        <v>86</v>
      </c>
      <c r="B8" s="28">
        <v>3153</v>
      </c>
      <c r="C8" s="28">
        <v>3878</v>
      </c>
      <c r="D8" s="28">
        <v>5054</v>
      </c>
      <c r="E8" s="28">
        <v>5009</v>
      </c>
      <c r="F8" s="28">
        <v>4720</v>
      </c>
      <c r="G8" s="29">
        <f t="shared" si="0"/>
        <v>18661</v>
      </c>
    </row>
    <row r="9" spans="1:7" x14ac:dyDescent="0.25">
      <c r="A9" s="27" t="s">
        <v>87</v>
      </c>
      <c r="B9" s="28">
        <v>1409</v>
      </c>
      <c r="C9" s="28">
        <v>1589</v>
      </c>
      <c r="D9" s="28">
        <v>1630</v>
      </c>
      <c r="E9" s="28">
        <v>1783</v>
      </c>
      <c r="F9" s="28">
        <v>1946</v>
      </c>
      <c r="G9" s="29">
        <f t="shared" si="0"/>
        <v>6948</v>
      </c>
    </row>
    <row r="10" spans="1:7" x14ac:dyDescent="0.25">
      <c r="A10" s="27" t="s">
        <v>88</v>
      </c>
      <c r="B10" s="28">
        <v>1251</v>
      </c>
      <c r="C10" s="28">
        <v>1366</v>
      </c>
      <c r="D10" s="28">
        <v>1562</v>
      </c>
      <c r="E10" s="28">
        <v>1655</v>
      </c>
      <c r="F10" s="28">
        <v>1833</v>
      </c>
      <c r="G10" s="29">
        <f t="shared" si="0"/>
        <v>6416</v>
      </c>
    </row>
    <row r="11" spans="1:7" x14ac:dyDescent="0.25">
      <c r="A11" s="27" t="s">
        <v>89</v>
      </c>
      <c r="B11" s="28">
        <v>94</v>
      </c>
      <c r="C11" s="28">
        <v>0</v>
      </c>
      <c r="D11" s="28">
        <v>238</v>
      </c>
      <c r="E11" s="28">
        <v>162</v>
      </c>
      <c r="F11" s="28">
        <v>0</v>
      </c>
      <c r="G11" s="29">
        <f t="shared" si="0"/>
        <v>400</v>
      </c>
    </row>
    <row r="12" spans="1:7" x14ac:dyDescent="0.25">
      <c r="A12" s="27" t="s">
        <v>90</v>
      </c>
      <c r="B12" s="28">
        <v>2754</v>
      </c>
      <c r="C12" s="28">
        <v>2955</v>
      </c>
      <c r="D12" s="28">
        <v>3430</v>
      </c>
      <c r="E12" s="28">
        <v>3600</v>
      </c>
      <c r="F12" s="28">
        <v>3779</v>
      </c>
      <c r="G12" s="29">
        <f t="shared" si="0"/>
        <v>13764</v>
      </c>
    </row>
    <row r="13" spans="1:7" x14ac:dyDescent="0.25">
      <c r="A13" s="27" t="s">
        <v>91</v>
      </c>
      <c r="B13" s="28">
        <v>399</v>
      </c>
      <c r="C13" s="28">
        <v>923</v>
      </c>
      <c r="D13" s="28">
        <v>1624</v>
      </c>
      <c r="E13" s="28">
        <v>1409</v>
      </c>
      <c r="F13" s="28">
        <v>941</v>
      </c>
      <c r="G13" s="29">
        <f t="shared" si="0"/>
        <v>4897</v>
      </c>
    </row>
    <row r="14" spans="1:7" x14ac:dyDescent="0.25">
      <c r="A14" s="27" t="s">
        <v>92</v>
      </c>
      <c r="B14" s="28">
        <v>400</v>
      </c>
      <c r="C14" s="28">
        <v>392</v>
      </c>
      <c r="D14" s="28">
        <v>439</v>
      </c>
      <c r="E14" s="28">
        <v>449</v>
      </c>
      <c r="F14" s="28">
        <v>434</v>
      </c>
      <c r="G14" s="29">
        <f t="shared" si="0"/>
        <v>1714</v>
      </c>
    </row>
    <row r="15" spans="1:7" x14ac:dyDescent="0.25">
      <c r="A15" s="27" t="s">
        <v>93</v>
      </c>
      <c r="B15" s="28">
        <v>91</v>
      </c>
      <c r="C15" s="28">
        <v>86</v>
      </c>
      <c r="D15" s="28">
        <v>76</v>
      </c>
      <c r="E15" s="28">
        <v>85</v>
      </c>
      <c r="F15" s="28">
        <v>92</v>
      </c>
      <c r="G15" s="29">
        <f t="shared" si="0"/>
        <v>339</v>
      </c>
    </row>
    <row r="16" spans="1:7" x14ac:dyDescent="0.25">
      <c r="A16" s="27" t="s">
        <v>94</v>
      </c>
      <c r="B16" s="28">
        <v>-119</v>
      </c>
      <c r="C16" s="28">
        <v>320</v>
      </c>
      <c r="D16" s="28">
        <v>-28</v>
      </c>
      <c r="E16" s="28">
        <v>-592</v>
      </c>
      <c r="F16" s="28">
        <v>-535</v>
      </c>
      <c r="G16" s="29">
        <f t="shared" si="0"/>
        <v>-835</v>
      </c>
    </row>
    <row r="17" spans="1:7" x14ac:dyDescent="0.25">
      <c r="A17" s="27" t="s">
        <v>95</v>
      </c>
      <c r="B17" s="28">
        <v>589</v>
      </c>
      <c r="C17" s="28">
        <v>1549</v>
      </c>
      <c r="D17" s="28">
        <v>1959</v>
      </c>
      <c r="E17" s="28">
        <v>1181</v>
      </c>
      <c r="F17" s="28">
        <v>748</v>
      </c>
      <c r="G17" s="29">
        <f t="shared" si="0"/>
        <v>5437</v>
      </c>
    </row>
    <row r="18" spans="1:7" x14ac:dyDescent="0.25">
      <c r="A18" s="27" t="s">
        <v>96</v>
      </c>
      <c r="B18" s="28">
        <v>169</v>
      </c>
      <c r="C18" s="28">
        <v>359</v>
      </c>
      <c r="D18" s="28">
        <v>570</v>
      </c>
      <c r="E18" s="28">
        <v>325</v>
      </c>
      <c r="F18" s="28">
        <v>257</v>
      </c>
      <c r="G18" s="29">
        <f t="shared" si="0"/>
        <v>1511</v>
      </c>
    </row>
    <row r="19" spans="1:7" x14ac:dyDescent="0.25">
      <c r="A19" s="27" t="s">
        <v>97</v>
      </c>
      <c r="B19" s="28">
        <v>420</v>
      </c>
      <c r="C19" s="28">
        <v>1190</v>
      </c>
      <c r="D19" s="28">
        <v>1389</v>
      </c>
      <c r="E19" s="28">
        <v>856</v>
      </c>
      <c r="F19" s="28">
        <v>491</v>
      </c>
      <c r="G19" s="29">
        <f t="shared" si="0"/>
        <v>3926</v>
      </c>
    </row>
    <row r="20" spans="1:7" x14ac:dyDescent="0.25">
      <c r="A20" s="27" t="s">
        <v>98</v>
      </c>
      <c r="B20" s="28">
        <v>409</v>
      </c>
      <c r="C20" s="28">
        <v>1172</v>
      </c>
      <c r="D20" s="28">
        <v>1373</v>
      </c>
      <c r="E20" s="28">
        <v>840</v>
      </c>
      <c r="F20" s="28">
        <v>477</v>
      </c>
      <c r="G20" s="29">
        <f t="shared" si="0"/>
        <v>3862</v>
      </c>
    </row>
    <row r="21" spans="1:7" ht="15.75" customHeight="1" x14ac:dyDescent="0.25">
      <c r="A21" s="27" t="s">
        <v>99</v>
      </c>
      <c r="B21" s="30">
        <v>0.12</v>
      </c>
      <c r="C21" s="30">
        <v>0.33</v>
      </c>
      <c r="D21" s="30">
        <v>0.39</v>
      </c>
      <c r="E21" s="30">
        <v>0.24</v>
      </c>
      <c r="F21" s="30">
        <v>0.13</v>
      </c>
      <c r="G21" s="31">
        <f t="shared" si="0"/>
        <v>1.0900000000000001</v>
      </c>
    </row>
    <row r="22" spans="1:7" ht="15.75" customHeight="1" x14ac:dyDescent="0.25">
      <c r="A22" s="27" t="s">
        <v>100</v>
      </c>
      <c r="B22" s="28">
        <v>3521</v>
      </c>
      <c r="C22" s="28">
        <v>3519</v>
      </c>
      <c r="D22" s="28">
        <v>3526</v>
      </c>
      <c r="E22" s="28">
        <v>3539</v>
      </c>
      <c r="F22" s="28">
        <v>3538</v>
      </c>
      <c r="G22" s="29">
        <f>AVERAGE(C22:F22)</f>
        <v>3530.5</v>
      </c>
    </row>
    <row r="23" spans="1:7" ht="15.75" customHeight="1" x14ac:dyDescent="0.25"/>
    <row r="24" spans="1:7" ht="15.75" customHeight="1" x14ac:dyDescent="0.25">
      <c r="A24" s="71" t="s">
        <v>101</v>
      </c>
      <c r="B24" s="72"/>
      <c r="C24" s="72"/>
      <c r="D24" s="72"/>
      <c r="E24" s="72"/>
      <c r="F24" s="72"/>
      <c r="G24" s="73"/>
    </row>
    <row r="25" spans="1:7" ht="15.75" customHeight="1" x14ac:dyDescent="0.25">
      <c r="A25" s="3"/>
      <c r="B25" s="25" t="s">
        <v>78</v>
      </c>
      <c r="C25" s="25" t="s">
        <v>79</v>
      </c>
      <c r="D25" s="25" t="s">
        <v>80</v>
      </c>
      <c r="E25" s="25" t="s">
        <v>81</v>
      </c>
      <c r="F25" s="25" t="s">
        <v>82</v>
      </c>
      <c r="G25" s="26" t="s">
        <v>83</v>
      </c>
    </row>
    <row r="26" spans="1:7" ht="15.75" customHeight="1" x14ac:dyDescent="0.25">
      <c r="A26" s="27" t="s">
        <v>102</v>
      </c>
      <c r="B26" s="28">
        <v>1447</v>
      </c>
      <c r="C26" s="28">
        <v>1433</v>
      </c>
      <c r="D26" s="28">
        <v>1625</v>
      </c>
      <c r="E26" s="28">
        <v>1643</v>
      </c>
      <c r="F26" s="28">
        <v>1590</v>
      </c>
      <c r="G26" s="29">
        <f t="shared" ref="G26:G30" si="1">SUM(D26:F26)+C26</f>
        <v>6291</v>
      </c>
    </row>
    <row r="27" spans="1:7" ht="15.75" customHeight="1" x14ac:dyDescent="0.25">
      <c r="A27" s="27" t="s">
        <v>103</v>
      </c>
      <c r="B27" s="28">
        <v>573</v>
      </c>
      <c r="C27" s="28">
        <v>635</v>
      </c>
      <c r="D27" s="28">
        <v>663</v>
      </c>
      <c r="E27" s="28">
        <v>954</v>
      </c>
      <c r="F27" s="28">
        <v>1030</v>
      </c>
      <c r="G27" s="29">
        <f t="shared" si="1"/>
        <v>3282</v>
      </c>
    </row>
    <row r="28" spans="1:7" ht="15.75" customHeight="1" x14ac:dyDescent="0.25">
      <c r="A28" s="27" t="s">
        <v>104</v>
      </c>
      <c r="B28" s="28">
        <v>2156</v>
      </c>
      <c r="C28" s="28">
        <v>2540</v>
      </c>
      <c r="D28" s="28">
        <v>6238</v>
      </c>
      <c r="E28" s="28">
        <v>3813</v>
      </c>
      <c r="F28" s="28">
        <v>3937</v>
      </c>
      <c r="G28" s="29">
        <f t="shared" si="1"/>
        <v>16528</v>
      </c>
    </row>
    <row r="29" spans="1:7" ht="15.75" customHeight="1" x14ac:dyDescent="0.25">
      <c r="A29" s="27" t="s">
        <v>105</v>
      </c>
      <c r="B29" s="28">
        <v>1492</v>
      </c>
      <c r="C29" s="28">
        <v>2394</v>
      </c>
      <c r="D29" s="28">
        <v>2248</v>
      </c>
      <c r="E29" s="28">
        <v>2393</v>
      </c>
      <c r="F29" s="28">
        <v>2493</v>
      </c>
      <c r="G29" s="29">
        <f t="shared" si="1"/>
        <v>9528</v>
      </c>
    </row>
    <row r="30" spans="1:7" ht="15.75" customHeight="1" x14ac:dyDescent="0.25">
      <c r="A30" s="27" t="s">
        <v>106</v>
      </c>
      <c r="B30" s="28">
        <v>664</v>
      </c>
      <c r="C30" s="28">
        <v>146</v>
      </c>
      <c r="D30" s="28">
        <v>3990</v>
      </c>
      <c r="E30" s="28">
        <v>1420</v>
      </c>
      <c r="F30" s="28">
        <v>1444</v>
      </c>
      <c r="G30" s="29">
        <f t="shared" si="1"/>
        <v>7000</v>
      </c>
    </row>
    <row r="31" spans="1:7" ht="15.75" customHeight="1" x14ac:dyDescent="0.25"/>
    <row r="32" spans="1:7" ht="15.75" customHeight="1" x14ac:dyDescent="0.25">
      <c r="A32" s="71" t="s">
        <v>107</v>
      </c>
      <c r="B32" s="72"/>
      <c r="C32" s="72"/>
      <c r="D32" s="72"/>
      <c r="E32" s="72"/>
      <c r="F32" s="72"/>
      <c r="G32" s="73"/>
    </row>
    <row r="33" spans="1:7" ht="15.75" customHeight="1" x14ac:dyDescent="0.25">
      <c r="A33" s="3"/>
      <c r="B33" s="25" t="s">
        <v>78</v>
      </c>
      <c r="C33" s="25" t="s">
        <v>79</v>
      </c>
      <c r="D33" s="25" t="s">
        <v>80</v>
      </c>
      <c r="E33" s="25" t="s">
        <v>81</v>
      </c>
      <c r="F33" s="25" t="s">
        <v>82</v>
      </c>
      <c r="G33" s="26" t="s">
        <v>83</v>
      </c>
    </row>
    <row r="34" spans="1:7" ht="15.75" customHeight="1" x14ac:dyDescent="0.25">
      <c r="A34" s="27" t="s">
        <v>108</v>
      </c>
      <c r="B34" s="28">
        <v>36996</v>
      </c>
      <c r="C34" s="28">
        <v>36782</v>
      </c>
      <c r="D34" s="28">
        <v>41647</v>
      </c>
      <c r="E34" s="28">
        <v>44059</v>
      </c>
      <c r="F34" s="28">
        <v>44743</v>
      </c>
      <c r="G34" s="29">
        <f t="shared" ref="G34:G41" si="2">F34</f>
        <v>44743</v>
      </c>
    </row>
    <row r="35" spans="1:7" ht="15.75" customHeight="1" x14ac:dyDescent="0.25">
      <c r="A35" s="27" t="s">
        <v>109</v>
      </c>
      <c r="B35" s="28">
        <v>59389</v>
      </c>
      <c r="C35" s="28">
        <v>61133</v>
      </c>
      <c r="D35" s="28">
        <v>64653</v>
      </c>
      <c r="E35" s="28">
        <v>68643</v>
      </c>
      <c r="F35" s="28">
        <v>69748</v>
      </c>
      <c r="G35" s="29">
        <f t="shared" si="2"/>
        <v>69748</v>
      </c>
    </row>
    <row r="36" spans="1:7" ht="15.75" customHeight="1" x14ac:dyDescent="0.25">
      <c r="A36" s="27" t="s">
        <v>110</v>
      </c>
      <c r="B36" s="28">
        <v>125111</v>
      </c>
      <c r="C36" s="28">
        <v>128567</v>
      </c>
      <c r="D36" s="28">
        <v>133735</v>
      </c>
      <c r="E36" s="28">
        <v>137806</v>
      </c>
      <c r="F36" s="28">
        <v>143724</v>
      </c>
      <c r="G36" s="29">
        <f t="shared" si="2"/>
        <v>143724</v>
      </c>
    </row>
    <row r="37" spans="1:7" ht="15.75" customHeight="1" x14ac:dyDescent="0.25">
      <c r="A37" s="27" t="s">
        <v>111</v>
      </c>
      <c r="B37" s="28">
        <v>29753</v>
      </c>
      <c r="C37" s="28">
        <v>30008</v>
      </c>
      <c r="D37" s="28">
        <v>31290</v>
      </c>
      <c r="E37" s="28">
        <v>31713</v>
      </c>
      <c r="F37" s="28">
        <v>34138</v>
      </c>
      <c r="G37" s="29">
        <f t="shared" si="2"/>
        <v>34138</v>
      </c>
    </row>
    <row r="38" spans="1:7" ht="15.75" customHeight="1" x14ac:dyDescent="0.25">
      <c r="A38" s="27" t="s">
        <v>112</v>
      </c>
      <c r="B38" s="28">
        <v>2237</v>
      </c>
      <c r="C38" s="28">
        <v>2040</v>
      </c>
      <c r="D38" s="28">
        <v>1924</v>
      </c>
      <c r="E38" s="28">
        <v>1640</v>
      </c>
      <c r="F38" s="28">
        <v>1447</v>
      </c>
      <c r="G38" s="29">
        <f t="shared" si="2"/>
        <v>1447</v>
      </c>
    </row>
    <row r="39" spans="1:7" ht="15.75" customHeight="1" x14ac:dyDescent="0.25">
      <c r="A39" s="27" t="s">
        <v>113</v>
      </c>
      <c r="B39" s="28">
        <v>5292</v>
      </c>
      <c r="C39" s="28">
        <v>5180</v>
      </c>
      <c r="D39" s="28">
        <v>5778</v>
      </c>
      <c r="E39" s="28">
        <v>6736</v>
      </c>
      <c r="F39" s="28">
        <v>7782</v>
      </c>
      <c r="G39" s="29">
        <f t="shared" si="2"/>
        <v>7782</v>
      </c>
    </row>
    <row r="40" spans="1:7" ht="15.75" customHeight="1" x14ac:dyDescent="0.25">
      <c r="A40" s="27" t="s">
        <v>114</v>
      </c>
      <c r="B40" s="28">
        <v>49693</v>
      </c>
      <c r="C40" s="28">
        <v>50495</v>
      </c>
      <c r="D40" s="28">
        <v>53019</v>
      </c>
      <c r="E40" s="28">
        <v>54940</v>
      </c>
      <c r="F40" s="28">
        <v>58922</v>
      </c>
      <c r="G40" s="29">
        <f t="shared" si="2"/>
        <v>58922</v>
      </c>
    </row>
    <row r="41" spans="1:7" ht="15.75" customHeight="1" x14ac:dyDescent="0.25">
      <c r="A41" s="27" t="s">
        <v>115</v>
      </c>
      <c r="B41" s="28">
        <v>74653</v>
      </c>
      <c r="C41" s="28">
        <v>77314</v>
      </c>
      <c r="D41" s="28">
        <v>79970</v>
      </c>
      <c r="E41" s="28">
        <v>82139</v>
      </c>
      <c r="F41" s="28">
        <v>84116</v>
      </c>
      <c r="G41" s="29">
        <f t="shared" si="2"/>
        <v>84116</v>
      </c>
    </row>
    <row r="42" spans="1:7" ht="15.75" customHeight="1" x14ac:dyDescent="0.25"/>
    <row r="43" spans="1:7" ht="15.75" customHeight="1" x14ac:dyDescent="0.25">
      <c r="A43" s="71" t="s">
        <v>24</v>
      </c>
      <c r="B43" s="72"/>
      <c r="C43" s="72"/>
      <c r="D43" s="72"/>
      <c r="E43" s="72"/>
      <c r="F43" s="72"/>
      <c r="G43" s="73"/>
    </row>
    <row r="44" spans="1:7" ht="15" customHeight="1" x14ac:dyDescent="0.25">
      <c r="A44" s="74" t="str">
        <f>"Trailing-twelve-month revenue of $"&amp;TEXT(G6,"#,##0")&amp;"M produced $"&amp;TEXT(G20,"#,##0")&amp;"M net income to common and $"&amp;TEXT(G30,"#,##0")&amp;"M of free cash flow. TTM = the sum of the last four quarters shown to the left."</f>
        <v>Trailing-twelve-month revenue of $97,879M produced $3,862M net income to common and $7,000M of free cash flow. TTM = the sum of the last four quarters shown to the left.</v>
      </c>
      <c r="B44" s="75"/>
      <c r="C44" s="75"/>
      <c r="D44" s="75"/>
      <c r="E44" s="75"/>
      <c r="F44" s="75"/>
      <c r="G44" s="76"/>
    </row>
    <row r="45" spans="1:7" ht="15" customHeight="1" x14ac:dyDescent="0.25">
      <c r="A45" s="77"/>
      <c r="B45" s="69"/>
      <c r="C45" s="69"/>
      <c r="D45" s="69"/>
      <c r="E45" s="69"/>
      <c r="F45" s="69"/>
      <c r="G45" s="78"/>
    </row>
    <row r="46" spans="1:7" ht="15" customHeight="1" x14ac:dyDescent="0.25">
      <c r="A46" s="77"/>
      <c r="B46" s="69"/>
      <c r="C46" s="69"/>
      <c r="D46" s="69"/>
      <c r="E46" s="69"/>
      <c r="F46" s="69"/>
      <c r="G46" s="78"/>
    </row>
    <row r="47" spans="1:7" ht="15" customHeight="1" x14ac:dyDescent="0.25">
      <c r="A47" s="77"/>
      <c r="B47" s="69"/>
      <c r="C47" s="69"/>
      <c r="D47" s="69"/>
      <c r="E47" s="69"/>
      <c r="F47" s="69"/>
      <c r="G47" s="78"/>
    </row>
    <row r="48" spans="1:7" ht="15" customHeight="1" x14ac:dyDescent="0.25">
      <c r="A48" s="79"/>
      <c r="B48" s="80"/>
      <c r="C48" s="80"/>
      <c r="D48" s="80"/>
      <c r="E48" s="80"/>
      <c r="F48" s="80"/>
      <c r="G48" s="8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43:G43"/>
    <mergeCell ref="A44:G48"/>
    <mergeCell ref="A1:G1"/>
    <mergeCell ref="A2:G2"/>
    <mergeCell ref="A4:G4"/>
    <mergeCell ref="A24:G24"/>
    <mergeCell ref="A32:G32"/>
  </mergeCell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showGridLines="0" workbookViewId="0">
      <selection sqref="A1:F1"/>
    </sheetView>
  </sheetViews>
  <sheetFormatPr defaultColWidth="14.42578125" defaultRowHeight="15" customHeight="1" x14ac:dyDescent="0.25"/>
  <cols>
    <col min="1" max="1" width="28" customWidth="1"/>
    <col min="2" max="6" width="11" customWidth="1"/>
    <col min="7" max="26" width="8.7109375" customWidth="1"/>
  </cols>
  <sheetData>
    <row r="1" spans="1:6" ht="24" customHeight="1" x14ac:dyDescent="0.25">
      <c r="A1" s="82" t="s">
        <v>116</v>
      </c>
      <c r="B1" s="72"/>
      <c r="C1" s="72"/>
      <c r="D1" s="72"/>
      <c r="E1" s="72"/>
      <c r="F1" s="73"/>
    </row>
    <row r="3" spans="1:6" x14ac:dyDescent="0.25">
      <c r="A3" s="32" t="s">
        <v>117</v>
      </c>
      <c r="B3" s="25" t="s">
        <v>78</v>
      </c>
      <c r="C3" s="25" t="s">
        <v>79</v>
      </c>
      <c r="D3" s="25" t="s">
        <v>80</v>
      </c>
      <c r="E3" s="25" t="s">
        <v>81</v>
      </c>
      <c r="F3" s="25" t="s">
        <v>82</v>
      </c>
    </row>
    <row r="4" spans="1:6" x14ac:dyDescent="0.25">
      <c r="A4" s="27" t="s">
        <v>118</v>
      </c>
      <c r="B4" s="33">
        <f>Financials!B8/Financials!B6</f>
        <v>0.16307214895267649</v>
      </c>
      <c r="C4" s="33">
        <f>Financials!C8/Financials!C6</f>
        <v>0.17238620199146515</v>
      </c>
      <c r="D4" s="33">
        <f>Financials!D8/Financials!D6</f>
        <v>0.1798896600818651</v>
      </c>
      <c r="E4" s="33">
        <f>Financials!E8/Financials!E6</f>
        <v>0.20115658005702583</v>
      </c>
      <c r="F4" s="33">
        <f>Financials!F8/Financials!F6</f>
        <v>0.21083664626792334</v>
      </c>
    </row>
    <row r="5" spans="1:6" x14ac:dyDescent="0.25">
      <c r="A5" s="27" t="s">
        <v>119</v>
      </c>
      <c r="B5" s="33">
        <f>Financials!B13/Financials!B6</f>
        <v>2.0636152055857254E-2</v>
      </c>
      <c r="C5" s="33">
        <f>Financials!C13/Financials!C6</f>
        <v>4.1029516358463726E-2</v>
      </c>
      <c r="D5" s="33">
        <f>Financials!D13/Financials!D6</f>
        <v>5.7803879693895714E-2</v>
      </c>
      <c r="E5" s="33">
        <f>Financials!E13/Financials!E6</f>
        <v>5.6584072928798038E-2</v>
      </c>
      <c r="F5" s="33">
        <f>Financials!F13/Financials!F6</f>
        <v>4.2033322910617767E-2</v>
      </c>
    </row>
    <row r="6" spans="1:6" x14ac:dyDescent="0.25">
      <c r="A6" s="27" t="s">
        <v>120</v>
      </c>
      <c r="B6" s="33">
        <f>Financials!B20/Financials!B6</f>
        <v>2.1153348849237134E-2</v>
      </c>
      <c r="C6" s="33">
        <f>Financials!C20/Financials!C6</f>
        <v>5.209815078236131E-2</v>
      </c>
      <c r="D6" s="33">
        <f>Financials!D20/Financials!D6</f>
        <v>4.8869905677166758E-2</v>
      </c>
      <c r="E6" s="33">
        <f>Financials!E20/Financials!E6</f>
        <v>3.3733584996586484E-2</v>
      </c>
      <c r="F6" s="33">
        <f>Financials!F20/Financials!F6</f>
        <v>2.130700853173717E-2</v>
      </c>
    </row>
    <row r="7" spans="1:6" x14ac:dyDescent="0.25">
      <c r="A7" s="27" t="s">
        <v>121</v>
      </c>
      <c r="B7" s="33">
        <f>Financials!B20*4/Financials!B41</f>
        <v>2.1914725463142808E-2</v>
      </c>
      <c r="C7" s="33">
        <f>Financials!C20*4/Financials!C41</f>
        <v>6.0635848617326744E-2</v>
      </c>
      <c r="D7" s="33">
        <f>Financials!D20*4/Financials!D41</f>
        <v>6.8675753407527823E-2</v>
      </c>
      <c r="E7" s="33">
        <f>Financials!E20*4/Financials!E41</f>
        <v>4.0906268642179722E-2</v>
      </c>
      <c r="F7" s="33">
        <f>Financials!F20*4/Financials!F41</f>
        <v>2.2682961624423414E-2</v>
      </c>
    </row>
    <row r="8" spans="1:6" x14ac:dyDescent="0.25">
      <c r="A8" s="27" t="s">
        <v>122</v>
      </c>
      <c r="B8" s="33">
        <f>Financials!B20*4/Financials!B36</f>
        <v>1.3076388167307431E-2</v>
      </c>
      <c r="C8" s="33">
        <f>Financials!C20*4/Financials!C36</f>
        <v>3.6463478186470867E-2</v>
      </c>
      <c r="D8" s="33">
        <f>Financials!D20*4/Financials!D36</f>
        <v>4.1066287807978462E-2</v>
      </c>
      <c r="E8" s="33">
        <f>Financials!E20*4/Financials!E36</f>
        <v>2.4382102375803665E-2</v>
      </c>
      <c r="F8" s="33">
        <f>Financials!F20*4/Financials!F36</f>
        <v>1.3275444602154129E-2</v>
      </c>
    </row>
    <row r="9" spans="1:6" x14ac:dyDescent="0.25">
      <c r="A9" s="27" t="s">
        <v>17</v>
      </c>
      <c r="B9" s="34">
        <f>Financials!B35/Financials!B37</f>
        <v>1.9960676234329311</v>
      </c>
      <c r="C9" s="34">
        <f>Financials!C35/Financials!C37</f>
        <v>2.0372234070914423</v>
      </c>
      <c r="D9" s="34">
        <f>Financials!D35/Financials!D37</f>
        <v>2.0662511984659635</v>
      </c>
      <c r="E9" s="34">
        <f>Financials!E35/Financials!E37</f>
        <v>2.1645066691892914</v>
      </c>
      <c r="F9" s="34">
        <f>Financials!F35/Financials!F37</f>
        <v>2.0431191048098891</v>
      </c>
    </row>
    <row r="10" spans="1:6" x14ac:dyDescent="0.25">
      <c r="A10" s="27" t="s">
        <v>18</v>
      </c>
      <c r="B10" s="34">
        <f>(Financials!B38+Financials!B39)/Financials!B41</f>
        <v>0.10085328118093044</v>
      </c>
      <c r="C10" s="34">
        <f>(Financials!C38+Financials!C39)/Financials!C41</f>
        <v>9.3385415319347076E-2</v>
      </c>
      <c r="D10" s="34">
        <f>(Financials!D38+Financials!D39)/Financials!D41</f>
        <v>9.6311116668750779E-2</v>
      </c>
      <c r="E10" s="34">
        <f>(Financials!E38+Financials!E39)/Financials!E41</f>
        <v>0.10197348397229088</v>
      </c>
      <c r="F10" s="34">
        <f>(Financials!F38+Financials!F39)/Financials!F41</f>
        <v>0.10971753293071473</v>
      </c>
    </row>
    <row r="11" spans="1:6" x14ac:dyDescent="0.25">
      <c r="A11" s="27" t="s">
        <v>123</v>
      </c>
      <c r="B11" s="35">
        <f>Financials!B41/Financials!B22</f>
        <v>21.202215279750071</v>
      </c>
      <c r="C11" s="35">
        <f>Financials!C41/Financials!C22</f>
        <v>21.970446149474281</v>
      </c>
      <c r="D11" s="35">
        <f>Financials!D41/Financials!D22</f>
        <v>22.680090754395916</v>
      </c>
      <c r="E11" s="35">
        <f>Financials!E41/Financials!E22</f>
        <v>23.209663746821136</v>
      </c>
      <c r="F11" s="35">
        <f>Financials!F41/Financials!F22</f>
        <v>23.775014132278123</v>
      </c>
    </row>
    <row r="12" spans="1:6" x14ac:dyDescent="0.25">
      <c r="A12" s="27" t="s">
        <v>19</v>
      </c>
      <c r="B12" s="34">
        <f>IFERROR(Financials!B30/Financials!B20,0)</f>
        <v>1.6234718826405867</v>
      </c>
      <c r="C12" s="34">
        <f>IFERROR(Financials!C30/Financials!C20,0)</f>
        <v>0.12457337883959044</v>
      </c>
      <c r="D12" s="34">
        <f>IFERROR(Financials!D30/Financials!D20,0)</f>
        <v>2.9060451565914058</v>
      </c>
      <c r="E12" s="34">
        <f>IFERROR(Financials!E30/Financials!E20,0)</f>
        <v>1.6904761904761905</v>
      </c>
      <c r="F12" s="34">
        <f>IFERROR(Financials!F30/Financials!F20,0)</f>
        <v>3.0272536687631026</v>
      </c>
    </row>
    <row r="14" spans="1:6" x14ac:dyDescent="0.25">
      <c r="A14" s="71" t="s">
        <v>24</v>
      </c>
      <c r="B14" s="72"/>
      <c r="C14" s="72"/>
      <c r="D14" s="72"/>
      <c r="E14" s="72"/>
      <c r="F14" s="73"/>
    </row>
    <row r="15" spans="1:6" ht="15" customHeight="1" x14ac:dyDescent="0.25">
      <c r="A15" s="74" t="str">
        <f>"Latest quarter: net margin "&amp;TEXT(F6,"0.0%")&amp;", annualized ROE "&amp;TEXT(F7,"0.0%")&amp;", current ratio "&amp;TEXT(F9,"0.00")&amp;" and debt/equity "&amp;TEXT(F10,"0.00")&amp;". Scan each row left-to-right to read the five-quarter trend."</f>
        <v>Latest quarter: net margin 2.1%, annualized ROE 2.3%, current ratio 2.04 and debt/equity 0.11. Scan each row left-to-right to read the five-quarter trend.</v>
      </c>
      <c r="B15" s="75"/>
      <c r="C15" s="75"/>
      <c r="D15" s="75"/>
      <c r="E15" s="75"/>
      <c r="F15" s="76"/>
    </row>
    <row r="16" spans="1:6" ht="15" customHeight="1" x14ac:dyDescent="0.25">
      <c r="A16" s="77"/>
      <c r="B16" s="69"/>
      <c r="C16" s="69"/>
      <c r="D16" s="69"/>
      <c r="E16" s="69"/>
      <c r="F16" s="78"/>
    </row>
    <row r="17" spans="1:6" ht="15" customHeight="1" x14ac:dyDescent="0.25">
      <c r="A17" s="77"/>
      <c r="B17" s="69"/>
      <c r="C17" s="69"/>
      <c r="D17" s="69"/>
      <c r="E17" s="69"/>
      <c r="F17" s="78"/>
    </row>
    <row r="18" spans="1:6" ht="15" customHeight="1" x14ac:dyDescent="0.25">
      <c r="A18" s="77"/>
      <c r="B18" s="69"/>
      <c r="C18" s="69"/>
      <c r="D18" s="69"/>
      <c r="E18" s="69"/>
      <c r="F18" s="78"/>
    </row>
    <row r="19" spans="1:6" ht="15" customHeight="1" x14ac:dyDescent="0.25">
      <c r="A19" s="79"/>
      <c r="B19" s="80"/>
      <c r="C19" s="80"/>
      <c r="D19" s="80"/>
      <c r="E19" s="80"/>
      <c r="F19" s="81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F1"/>
    <mergeCell ref="A14:F14"/>
    <mergeCell ref="A15:F19"/>
  </mergeCells>
  <conditionalFormatting sqref="B6:F6">
    <cfRule type="cellIs" dxfId="23" priority="7" operator="greaterThanOrEqual">
      <formula>0.05</formula>
    </cfRule>
  </conditionalFormatting>
  <conditionalFormatting sqref="B6:F7">
    <cfRule type="cellIs" dxfId="22" priority="8" operator="lessThan">
      <formula>0</formula>
    </cfRule>
  </conditionalFormatting>
  <conditionalFormatting sqref="B7:F7">
    <cfRule type="cellIs" dxfId="21" priority="9" operator="greaterThanOrEqual">
      <formula>0.12</formula>
    </cfRule>
  </conditionalFormatting>
  <conditionalFormatting sqref="B9:F9">
    <cfRule type="cellIs" dxfId="20" priority="1" operator="greaterThanOrEqual">
      <formula>2</formula>
    </cfRule>
    <cfRule type="cellIs" dxfId="19" priority="2" operator="lessThan">
      <formula>1</formula>
    </cfRule>
    <cfRule type="cellIs" dxfId="18" priority="3" operator="between">
      <formula>1</formula>
      <formula>2</formula>
    </cfRule>
  </conditionalFormatting>
  <conditionalFormatting sqref="B10:F10">
    <cfRule type="cellIs" dxfId="17" priority="4" operator="lessThanOrEqual">
      <formula>0.5</formula>
    </cfRule>
    <cfRule type="cellIs" dxfId="16" priority="5" operator="greaterThan">
      <formula>1</formula>
    </cfRule>
    <cfRule type="cellIs" dxfId="15" priority="6" operator="between">
      <formula>0.5</formula>
      <formula>1</formula>
    </cfRule>
  </conditionalFormatting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showGridLines="0" workbookViewId="0">
      <selection sqref="A1:C1"/>
    </sheetView>
  </sheetViews>
  <sheetFormatPr defaultColWidth="14.42578125" defaultRowHeight="15" customHeight="1" x14ac:dyDescent="0.25"/>
  <cols>
    <col min="1" max="1" width="26" customWidth="1"/>
    <col min="2" max="2" width="14" customWidth="1"/>
    <col min="3" max="3" width="12" customWidth="1"/>
    <col min="4" max="26" width="8.7109375" customWidth="1"/>
  </cols>
  <sheetData>
    <row r="1" spans="1:3" ht="24" customHeight="1" x14ac:dyDescent="0.25">
      <c r="A1" s="82" t="s">
        <v>124</v>
      </c>
      <c r="B1" s="72"/>
      <c r="C1" s="73"/>
    </row>
    <row r="2" spans="1:3" x14ac:dyDescent="0.25">
      <c r="A2" s="68" t="s">
        <v>125</v>
      </c>
      <c r="B2" s="69"/>
      <c r="C2" s="69"/>
    </row>
    <row r="3" spans="1:3" x14ac:dyDescent="0.25">
      <c r="A3" s="71" t="s">
        <v>126</v>
      </c>
      <c r="B3" s="72"/>
      <c r="C3" s="73"/>
    </row>
    <row r="4" spans="1:3" x14ac:dyDescent="0.25">
      <c r="A4" s="3" t="s">
        <v>127</v>
      </c>
      <c r="B4" s="21">
        <f>Inputs!C12</f>
        <v>1.0900000000000001</v>
      </c>
    </row>
    <row r="5" spans="1:3" x14ac:dyDescent="0.25">
      <c r="A5" s="3" t="s">
        <v>128</v>
      </c>
      <c r="B5" s="36">
        <f>Inputs!C30</f>
        <v>0.15</v>
      </c>
    </row>
    <row r="6" spans="1:3" x14ac:dyDescent="0.25">
      <c r="A6" s="3" t="s">
        <v>70</v>
      </c>
      <c r="B6" s="36">
        <f>Inputs!C38</f>
        <v>0.25</v>
      </c>
    </row>
    <row r="7" spans="1:3" x14ac:dyDescent="0.25">
      <c r="A7" s="3" t="s">
        <v>129</v>
      </c>
      <c r="B7" s="11">
        <f>IF(B5&gt;0,B5*(1-B6),B5*(1+B6))</f>
        <v>0.11249999999999999</v>
      </c>
    </row>
    <row r="8" spans="1:3" x14ac:dyDescent="0.25">
      <c r="A8" s="3" t="s">
        <v>130</v>
      </c>
      <c r="B8" s="36">
        <f>Inputs!C40</f>
        <v>0.05</v>
      </c>
    </row>
    <row r="9" spans="1:3" x14ac:dyDescent="0.25">
      <c r="A9" s="3" t="s">
        <v>71</v>
      </c>
      <c r="B9" s="36">
        <f>Inputs!C39</f>
        <v>0.09</v>
      </c>
    </row>
    <row r="10" spans="1:3" x14ac:dyDescent="0.25">
      <c r="A10" s="3" t="s">
        <v>131</v>
      </c>
      <c r="B10" s="37">
        <f>Inputs!C32</f>
        <v>60</v>
      </c>
    </row>
    <row r="11" spans="1:3" x14ac:dyDescent="0.25">
      <c r="A11" s="3" t="s">
        <v>132</v>
      </c>
      <c r="B11" s="37">
        <f>Inputs!C42</f>
        <v>30</v>
      </c>
    </row>
    <row r="12" spans="1:3" x14ac:dyDescent="0.25">
      <c r="A12" s="3" t="s">
        <v>133</v>
      </c>
      <c r="B12" s="38">
        <f>MIN(B10,B11)</f>
        <v>30</v>
      </c>
    </row>
    <row r="14" spans="1:3" x14ac:dyDescent="0.25">
      <c r="A14" s="71" t="s">
        <v>134</v>
      </c>
      <c r="B14" s="72"/>
      <c r="C14" s="73"/>
    </row>
    <row r="15" spans="1:3" x14ac:dyDescent="0.25">
      <c r="A15" s="32" t="s">
        <v>135</v>
      </c>
      <c r="B15" s="39" t="s">
        <v>136</v>
      </c>
    </row>
    <row r="16" spans="1:3" x14ac:dyDescent="0.25">
      <c r="A16" s="3">
        <v>1</v>
      </c>
      <c r="B16" s="40">
        <f>$B$4*(1+$B$7)</f>
        <v>1.2126250000000001</v>
      </c>
    </row>
    <row r="17" spans="1:6" x14ac:dyDescent="0.25">
      <c r="A17" s="3">
        <v>2</v>
      </c>
      <c r="B17" s="40">
        <f t="shared" ref="B17:B20" si="0">B16*(1+$B$7*(1-$B$8)^(A17-1))</f>
        <v>1.3422242968750002</v>
      </c>
    </row>
    <row r="18" spans="1:6" x14ac:dyDescent="0.25">
      <c r="A18" s="3">
        <v>3</v>
      </c>
      <c r="B18" s="40">
        <f t="shared" si="0"/>
        <v>1.4785020075170903</v>
      </c>
    </row>
    <row r="19" spans="1:6" x14ac:dyDescent="0.25">
      <c r="A19" s="3">
        <v>4</v>
      </c>
      <c r="B19" s="40">
        <f t="shared" si="0"/>
        <v>1.6211104566202741</v>
      </c>
    </row>
    <row r="20" spans="1:6" x14ac:dyDescent="0.25">
      <c r="A20" s="3">
        <v>5</v>
      </c>
      <c r="B20" s="40">
        <f t="shared" si="0"/>
        <v>1.7696559739917506</v>
      </c>
    </row>
    <row r="21" spans="1:6" ht="15.75" customHeight="1" x14ac:dyDescent="0.25"/>
    <row r="22" spans="1:6" ht="15.75" customHeight="1" x14ac:dyDescent="0.25">
      <c r="A22" s="1" t="s">
        <v>137</v>
      </c>
      <c r="B22" s="41">
        <f>B20*B12</f>
        <v>53.089679219752519</v>
      </c>
    </row>
    <row r="23" spans="1:6" ht="15.75" customHeight="1" x14ac:dyDescent="0.25">
      <c r="A23" s="42" t="s">
        <v>138</v>
      </c>
      <c r="B23" s="43">
        <f>B22/(1+B9)^5</f>
        <v>34.504648813428211</v>
      </c>
    </row>
    <row r="24" spans="1:6" ht="15.75" customHeight="1" x14ac:dyDescent="0.25"/>
    <row r="25" spans="1:6" ht="15.75" customHeight="1" x14ac:dyDescent="0.25">
      <c r="A25" s="71" t="s">
        <v>24</v>
      </c>
      <c r="B25" s="72"/>
      <c r="C25" s="72"/>
      <c r="D25" s="72"/>
      <c r="E25" s="72"/>
      <c r="F25" s="73"/>
    </row>
    <row r="26" spans="1:6" ht="15" customHeight="1" x14ac:dyDescent="0.25">
      <c r="A26" s="74" t="str">
        <f>"The P/E method grows EPS of $"&amp;TEXT(B4,"0.00")&amp;" at a conservative "&amp;TEXT(B7,"0.0%")&amp;" rate for five years, applies a "&amp;TEXT(B12,"0.0")&amp;"x exit multiple, then discounts back at "&amp;TEXT(B9,"0.0%")&amp;". Fair value: $"&amp;TEXT(B23,"#,##0.00")&amp;" per share - "&amp;IF(B23&gt;=Inputs!C7,"above","below")&amp;" the current price of $"&amp;TEXT(Inputs!C7,"#,##0.00")&amp;"."</f>
        <v>The P/E method grows EPS of $1.09 at a conservative 11.3% rate for five years, applies a 30.0x exit multiple, then discounts back at 9.0%. Fair value: $34.50 per share - below the current price of $379.71.</v>
      </c>
      <c r="B26" s="75"/>
      <c r="C26" s="75"/>
      <c r="D26" s="75"/>
      <c r="E26" s="75"/>
      <c r="F26" s="76"/>
    </row>
    <row r="27" spans="1:6" ht="15" customHeight="1" x14ac:dyDescent="0.25">
      <c r="A27" s="77"/>
      <c r="B27" s="69"/>
      <c r="C27" s="69"/>
      <c r="D27" s="69"/>
      <c r="E27" s="69"/>
      <c r="F27" s="78"/>
    </row>
    <row r="28" spans="1:6" ht="15" customHeight="1" x14ac:dyDescent="0.25">
      <c r="A28" s="77"/>
      <c r="B28" s="69"/>
      <c r="C28" s="69"/>
      <c r="D28" s="69"/>
      <c r="E28" s="69"/>
      <c r="F28" s="78"/>
    </row>
    <row r="29" spans="1:6" ht="15" customHeight="1" x14ac:dyDescent="0.25">
      <c r="A29" s="77"/>
      <c r="B29" s="69"/>
      <c r="C29" s="69"/>
      <c r="D29" s="69"/>
      <c r="E29" s="69"/>
      <c r="F29" s="78"/>
    </row>
    <row r="30" spans="1:6" ht="15" customHeight="1" x14ac:dyDescent="0.25">
      <c r="A30" s="79"/>
      <c r="B30" s="80"/>
      <c r="C30" s="80"/>
      <c r="D30" s="80"/>
      <c r="E30" s="80"/>
      <c r="F30" s="81"/>
    </row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26:F30"/>
    <mergeCell ref="A1:C1"/>
    <mergeCell ref="A2:C2"/>
    <mergeCell ref="A3:C3"/>
    <mergeCell ref="A14:C14"/>
    <mergeCell ref="A25:F25"/>
  </mergeCell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showGridLines="0" workbookViewId="0">
      <selection sqref="A1:G1"/>
    </sheetView>
  </sheetViews>
  <sheetFormatPr defaultColWidth="14.42578125" defaultRowHeight="15" customHeight="1" x14ac:dyDescent="0.25"/>
  <cols>
    <col min="1" max="1" width="26" customWidth="1"/>
    <col min="2" max="3" width="14" customWidth="1"/>
    <col min="4" max="4" width="3" customWidth="1"/>
    <col min="5" max="5" width="8.7109375" customWidth="1"/>
    <col min="6" max="6" width="24" customWidth="1"/>
    <col min="7" max="7" width="14" customWidth="1"/>
    <col min="8" max="26" width="8.7109375" customWidth="1"/>
  </cols>
  <sheetData>
    <row r="1" spans="1:7" ht="24" customHeight="1" x14ac:dyDescent="0.25">
      <c r="A1" s="82" t="s">
        <v>139</v>
      </c>
      <c r="B1" s="72"/>
      <c r="C1" s="72"/>
      <c r="D1" s="72"/>
      <c r="E1" s="72"/>
      <c r="F1" s="72"/>
      <c r="G1" s="73"/>
    </row>
    <row r="2" spans="1:7" x14ac:dyDescent="0.25">
      <c r="A2" s="68" t="s">
        <v>140</v>
      </c>
      <c r="B2" s="69"/>
      <c r="C2" s="69"/>
    </row>
    <row r="3" spans="1:7" x14ac:dyDescent="0.25">
      <c r="A3" s="71" t="s">
        <v>126</v>
      </c>
      <c r="B3" s="72"/>
      <c r="C3" s="73"/>
    </row>
    <row r="4" spans="1:7" x14ac:dyDescent="0.25">
      <c r="A4" s="3" t="s">
        <v>51</v>
      </c>
      <c r="B4" s="22">
        <f>Inputs!C16</f>
        <v>7000</v>
      </c>
      <c r="F4" s="44" t="s">
        <v>141</v>
      </c>
    </row>
    <row r="5" spans="1:7" x14ac:dyDescent="0.25">
      <c r="A5" s="3" t="s">
        <v>54</v>
      </c>
      <c r="B5" s="22">
        <f>Inputs!C20</f>
        <v>44743</v>
      </c>
      <c r="F5" s="3" t="s">
        <v>142</v>
      </c>
      <c r="G5" s="45">
        <f>IFERROR((( $B$33 *(1+B12)^10)/Inputs!C7)^(1/10)-1,"n/a")</f>
        <v>-0.10794253396240627</v>
      </c>
    </row>
    <row r="6" spans="1:7" x14ac:dyDescent="0.25">
      <c r="A6" s="3" t="s">
        <v>55</v>
      </c>
      <c r="B6" s="22">
        <f>Inputs!C21</f>
        <v>9229</v>
      </c>
      <c r="F6" s="9" t="s">
        <v>143</v>
      </c>
    </row>
    <row r="7" spans="1:7" x14ac:dyDescent="0.25">
      <c r="A7" s="3" t="s">
        <v>42</v>
      </c>
      <c r="B7" s="22">
        <f>Inputs!C8</f>
        <v>3756</v>
      </c>
    </row>
    <row r="8" spans="1:7" x14ac:dyDescent="0.25">
      <c r="A8" s="3" t="s">
        <v>128</v>
      </c>
      <c r="B8" s="36">
        <f>Inputs!C30</f>
        <v>0.15</v>
      </c>
    </row>
    <row r="9" spans="1:7" x14ac:dyDescent="0.25">
      <c r="A9" s="3" t="s">
        <v>70</v>
      </c>
      <c r="B9" s="36">
        <f>Inputs!C38</f>
        <v>0.25</v>
      </c>
    </row>
    <row r="10" spans="1:7" x14ac:dyDescent="0.25">
      <c r="A10" s="3" t="s">
        <v>129</v>
      </c>
      <c r="B10" s="11">
        <f>IF(B8&gt;0,B8*(1-B9),B8*(1+B9))</f>
        <v>0.11249999999999999</v>
      </c>
    </row>
    <row r="11" spans="1:7" x14ac:dyDescent="0.25">
      <c r="A11" s="3" t="s">
        <v>130</v>
      </c>
      <c r="B11" s="36">
        <f>Inputs!C40</f>
        <v>0.05</v>
      </c>
    </row>
    <row r="12" spans="1:7" x14ac:dyDescent="0.25">
      <c r="A12" s="3" t="s">
        <v>71</v>
      </c>
      <c r="B12" s="36">
        <f>Inputs!C39</f>
        <v>0.09</v>
      </c>
    </row>
    <row r="13" spans="1:7" x14ac:dyDescent="0.25">
      <c r="A13" s="3" t="s">
        <v>144</v>
      </c>
      <c r="B13" s="37">
        <f>Inputs!C41</f>
        <v>12</v>
      </c>
    </row>
    <row r="15" spans="1:7" x14ac:dyDescent="0.25">
      <c r="A15" s="71"/>
      <c r="B15" s="72"/>
      <c r="C15" s="73"/>
    </row>
    <row r="16" spans="1:7" x14ac:dyDescent="0.25">
      <c r="A16" s="32" t="s">
        <v>135</v>
      </c>
      <c r="B16" s="39" t="s">
        <v>145</v>
      </c>
      <c r="C16" s="39" t="s">
        <v>146</v>
      </c>
    </row>
    <row r="17" spans="1:3" x14ac:dyDescent="0.25">
      <c r="A17" s="3">
        <v>1</v>
      </c>
      <c r="B17" s="46">
        <f>B4*(1+B10)</f>
        <v>7787.5</v>
      </c>
      <c r="C17" s="46">
        <f t="shared" ref="C17:C26" si="0">B17/(1+$B$12)^A17</f>
        <v>7144.4954128440359</v>
      </c>
    </row>
    <row r="18" spans="1:3" x14ac:dyDescent="0.25">
      <c r="A18" s="3">
        <v>2</v>
      </c>
      <c r="B18" s="46">
        <f t="shared" ref="B18:B26" si="1">B17*(1+$B$10*(1-$B$11)^(A18-1))</f>
        <v>8619.7890625</v>
      </c>
      <c r="C18" s="46">
        <f t="shared" si="0"/>
        <v>7255.1040000841667</v>
      </c>
    </row>
    <row r="19" spans="1:3" x14ac:dyDescent="0.25">
      <c r="A19" s="3">
        <v>3</v>
      </c>
      <c r="B19" s="46">
        <f t="shared" si="1"/>
        <v>9494.9670207519539</v>
      </c>
      <c r="C19" s="46">
        <f t="shared" si="0"/>
        <v>7331.8566771492779</v>
      </c>
    </row>
    <row r="20" spans="1:3" x14ac:dyDescent="0.25">
      <c r="A20" s="3">
        <v>4</v>
      </c>
      <c r="B20" s="46">
        <f t="shared" si="1"/>
        <v>10410.801097561391</v>
      </c>
      <c r="C20" s="46">
        <f t="shared" si="0"/>
        <v>7375.2739648977067</v>
      </c>
    </row>
    <row r="21" spans="1:3" ht="15.75" customHeight="1" x14ac:dyDescent="0.25">
      <c r="A21" s="3">
        <v>5</v>
      </c>
      <c r="B21" s="46">
        <f t="shared" si="1"/>
        <v>11364.763135726835</v>
      </c>
      <c r="C21" s="46">
        <f t="shared" si="0"/>
        <v>7386.3162597552709</v>
      </c>
    </row>
    <row r="22" spans="1:3" ht="15.75" customHeight="1" x14ac:dyDescent="0.25">
      <c r="A22" s="3">
        <v>6</v>
      </c>
      <c r="B22" s="46">
        <f t="shared" si="1"/>
        <v>12354.069806510002</v>
      </c>
      <c r="C22" s="46">
        <f t="shared" si="0"/>
        <v>7366.3281796069505</v>
      </c>
    </row>
    <row r="23" spans="1:3" ht="15.75" customHeight="1" x14ac:dyDescent="0.25">
      <c r="A23" s="3">
        <v>7</v>
      </c>
      <c r="B23" s="46">
        <f t="shared" si="1"/>
        <v>13375.724666245327</v>
      </c>
      <c r="C23" s="46">
        <f t="shared" si="0"/>
        <v>7316.9794420316448</v>
      </c>
    </row>
    <row r="24" spans="1:3" ht="15.75" customHeight="1" x14ac:dyDescent="0.25">
      <c r="A24" s="3">
        <v>8</v>
      </c>
      <c r="B24" s="46">
        <f t="shared" si="1"/>
        <v>14426.560998376353</v>
      </c>
      <c r="C24" s="46">
        <f t="shared" si="0"/>
        <v>7240.204496727396</v>
      </c>
    </row>
    <row r="25" spans="1:3" ht="15.75" customHeight="1" x14ac:dyDescent="0.25">
      <c r="A25" s="3">
        <v>9</v>
      </c>
      <c r="B25" s="46">
        <f t="shared" si="1"/>
        <v>15503.284471826944</v>
      </c>
      <c r="C25" s="46">
        <f t="shared" si="0"/>
        <v>7138.1428445728288</v>
      </c>
    </row>
    <row r="26" spans="1:3" ht="15.75" customHeight="1" x14ac:dyDescent="0.25">
      <c r="A26" s="3">
        <v>10</v>
      </c>
      <c r="B26" s="46">
        <f t="shared" si="1"/>
        <v>16602.514759132628</v>
      </c>
      <c r="C26" s="46">
        <f t="shared" si="0"/>
        <v>7013.081655902798</v>
      </c>
    </row>
    <row r="27" spans="1:3" ht="15.75" customHeight="1" x14ac:dyDescent="0.25"/>
    <row r="28" spans="1:3" ht="15.75" customHeight="1" x14ac:dyDescent="0.25">
      <c r="A28" s="1" t="s">
        <v>147</v>
      </c>
      <c r="B28" s="47">
        <f>SUM(C17:C26)</f>
        <v>72567.782933572089</v>
      </c>
    </row>
    <row r="29" spans="1:3" ht="15.75" customHeight="1" x14ac:dyDescent="0.25">
      <c r="A29" s="1" t="s">
        <v>148</v>
      </c>
      <c r="B29" s="47">
        <f>C26*B13</f>
        <v>84156.979870833573</v>
      </c>
    </row>
    <row r="30" spans="1:3" ht="15.75" customHeight="1" x14ac:dyDescent="0.25">
      <c r="A30" s="3" t="s">
        <v>149</v>
      </c>
      <c r="B30" s="46">
        <f>B5</f>
        <v>44743</v>
      </c>
    </row>
    <row r="31" spans="1:3" ht="15.75" customHeight="1" x14ac:dyDescent="0.25">
      <c r="A31" s="3" t="s">
        <v>150</v>
      </c>
      <c r="B31" s="46">
        <f>-B6</f>
        <v>-9229</v>
      </c>
    </row>
    <row r="32" spans="1:3" ht="15.75" customHeight="1" x14ac:dyDescent="0.25">
      <c r="A32" s="1" t="s">
        <v>151</v>
      </c>
      <c r="B32" s="47">
        <f>B28+B29+B30+B31</f>
        <v>192238.76280440565</v>
      </c>
    </row>
    <row r="33" spans="1:7" ht="15.75" customHeight="1" x14ac:dyDescent="0.25">
      <c r="A33" s="42" t="s">
        <v>152</v>
      </c>
      <c r="B33" s="43">
        <f>B32/B7</f>
        <v>51.181779234399798</v>
      </c>
    </row>
    <row r="34" spans="1:7" ht="15.75" customHeight="1" x14ac:dyDescent="0.25"/>
    <row r="35" spans="1:7" ht="15.75" customHeight="1" x14ac:dyDescent="0.25"/>
    <row r="36" spans="1:7" ht="15.75" customHeight="1" x14ac:dyDescent="0.25">
      <c r="A36" s="71" t="s">
        <v>24</v>
      </c>
      <c r="B36" s="72"/>
      <c r="C36" s="72"/>
      <c r="D36" s="72"/>
      <c r="E36" s="72"/>
      <c r="F36" s="72"/>
      <c r="G36" s="73"/>
    </row>
    <row r="37" spans="1:7" ht="15" customHeight="1" x14ac:dyDescent="0.25">
      <c r="A37" s="74" t="str">
        <f>"Discounting ten years of free cash flow (from $"&amp;TEXT(B4,"#,##0")&amp;"M TTM, growing "&amp;TEXT(B10,"0.0%")&amp;" then fading) plus a "&amp;TEXT(B13,"0.0")&amp;"x terminal value, net of debt, gives $"&amp;TEXT(B33,"#,##0.00")&amp;" per share. Reverse DCF: the current price implies the market expects about "&amp;TEXT(G5,"0.0%")&amp;" FCF growth every year for a decade."</f>
        <v>Discounting ten years of free cash flow (from $7,000M TTM, growing 11.3% then fading) plus a 12.0x terminal value, net of debt, gives $51.18 per share. Reverse DCF: the current price implies the market expects about -10.8% FCF growth every year for a decade.</v>
      </c>
      <c r="B37" s="75"/>
      <c r="C37" s="75"/>
      <c r="D37" s="75"/>
      <c r="E37" s="75"/>
      <c r="F37" s="75"/>
      <c r="G37" s="76"/>
    </row>
    <row r="38" spans="1:7" ht="15" customHeight="1" x14ac:dyDescent="0.25">
      <c r="A38" s="77"/>
      <c r="B38" s="69"/>
      <c r="C38" s="69"/>
      <c r="D38" s="69"/>
      <c r="E38" s="69"/>
      <c r="F38" s="69"/>
      <c r="G38" s="78"/>
    </row>
    <row r="39" spans="1:7" ht="15" customHeight="1" x14ac:dyDescent="0.25">
      <c r="A39" s="77"/>
      <c r="B39" s="69"/>
      <c r="C39" s="69"/>
      <c r="D39" s="69"/>
      <c r="E39" s="69"/>
      <c r="F39" s="69"/>
      <c r="G39" s="78"/>
    </row>
    <row r="40" spans="1:7" ht="15" customHeight="1" x14ac:dyDescent="0.25">
      <c r="A40" s="77"/>
      <c r="B40" s="69"/>
      <c r="C40" s="69"/>
      <c r="D40" s="69"/>
      <c r="E40" s="69"/>
      <c r="F40" s="69"/>
      <c r="G40" s="78"/>
    </row>
    <row r="41" spans="1:7" ht="15" customHeight="1" x14ac:dyDescent="0.25">
      <c r="A41" s="79"/>
      <c r="B41" s="80"/>
      <c r="C41" s="80"/>
      <c r="D41" s="80"/>
      <c r="E41" s="80"/>
      <c r="F41" s="80"/>
      <c r="G41" s="81"/>
    </row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37:G41"/>
    <mergeCell ref="A1:G1"/>
    <mergeCell ref="A2:C2"/>
    <mergeCell ref="A3:C3"/>
    <mergeCell ref="A15:C15"/>
    <mergeCell ref="A36:G36"/>
  </mergeCells>
  <pageMargins left="0.75" right="0.75" top="1" bottom="1" header="0" footer="0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showGridLines="0" workbookViewId="0">
      <selection sqref="A1:D1"/>
    </sheetView>
  </sheetViews>
  <sheetFormatPr defaultColWidth="14.42578125" defaultRowHeight="15" customHeight="1" x14ac:dyDescent="0.25"/>
  <cols>
    <col min="1" max="1" width="24" customWidth="1"/>
    <col min="2" max="4" width="13" customWidth="1"/>
    <col min="5" max="26" width="8.7109375" customWidth="1"/>
  </cols>
  <sheetData>
    <row r="1" spans="1:4" ht="24" customHeight="1" x14ac:dyDescent="0.25">
      <c r="A1" s="82" t="s">
        <v>153</v>
      </c>
      <c r="B1" s="72"/>
      <c r="C1" s="72"/>
      <c r="D1" s="73"/>
    </row>
    <row r="2" spans="1:4" x14ac:dyDescent="0.25">
      <c r="A2" s="68" t="s">
        <v>154</v>
      </c>
      <c r="B2" s="69"/>
      <c r="C2" s="69"/>
      <c r="D2" s="69"/>
    </row>
    <row r="3" spans="1:4" x14ac:dyDescent="0.25">
      <c r="A3" s="71" t="s">
        <v>126</v>
      </c>
      <c r="B3" s="72"/>
      <c r="C3" s="72"/>
      <c r="D3" s="73"/>
    </row>
    <row r="4" spans="1:4" x14ac:dyDescent="0.25">
      <c r="A4" s="3" t="s">
        <v>56</v>
      </c>
      <c r="B4" s="22">
        <f>Inputs!C22</f>
        <v>84116</v>
      </c>
    </row>
    <row r="5" spans="1:4" x14ac:dyDescent="0.25">
      <c r="A5" s="3" t="s">
        <v>42</v>
      </c>
      <c r="B5" s="22">
        <f>Inputs!C8</f>
        <v>3756</v>
      </c>
    </row>
    <row r="6" spans="1:4" x14ac:dyDescent="0.25">
      <c r="A6" s="3" t="s">
        <v>155</v>
      </c>
      <c r="B6" s="48">
        <f>B4/B5</f>
        <v>22.395101171459</v>
      </c>
    </row>
    <row r="7" spans="1:4" x14ac:dyDescent="0.25">
      <c r="A7" s="3" t="s">
        <v>156</v>
      </c>
      <c r="B7" s="36">
        <f>Inputs!C33</f>
        <v>4.2963111550920099E-2</v>
      </c>
    </row>
    <row r="8" spans="1:4" x14ac:dyDescent="0.25">
      <c r="A8" s="3" t="s">
        <v>157</v>
      </c>
      <c r="B8" s="21">
        <f>Inputs!C17</f>
        <v>0</v>
      </c>
    </row>
    <row r="9" spans="1:4" x14ac:dyDescent="0.25">
      <c r="A9" s="3" t="s">
        <v>158</v>
      </c>
      <c r="B9" s="36">
        <f>Inputs!C34</f>
        <v>0.1</v>
      </c>
    </row>
    <row r="10" spans="1:4" x14ac:dyDescent="0.25">
      <c r="A10" s="3" t="s">
        <v>70</v>
      </c>
      <c r="B10" s="36">
        <f>Inputs!C38</f>
        <v>0.25</v>
      </c>
    </row>
    <row r="11" spans="1:4" x14ac:dyDescent="0.25">
      <c r="A11" s="3" t="s">
        <v>129</v>
      </c>
      <c r="B11" s="11">
        <f>IF(B9&gt;0,B9*(1-B10),B9*(1+B10))</f>
        <v>7.5000000000000011E-2</v>
      </c>
    </row>
    <row r="12" spans="1:4" x14ac:dyDescent="0.25">
      <c r="A12" s="3" t="s">
        <v>71</v>
      </c>
      <c r="B12" s="36">
        <f>Inputs!C39</f>
        <v>0.09</v>
      </c>
    </row>
    <row r="14" spans="1:4" x14ac:dyDescent="0.25">
      <c r="A14" s="71" t="s">
        <v>159</v>
      </c>
      <c r="B14" s="72"/>
      <c r="C14" s="72"/>
      <c r="D14" s="73"/>
    </row>
    <row r="15" spans="1:4" x14ac:dyDescent="0.25">
      <c r="A15" s="32" t="s">
        <v>135</v>
      </c>
      <c r="B15" s="39" t="s">
        <v>160</v>
      </c>
      <c r="C15" s="39" t="s">
        <v>161</v>
      </c>
      <c r="D15" s="39" t="s">
        <v>162</v>
      </c>
    </row>
    <row r="16" spans="1:4" x14ac:dyDescent="0.25">
      <c r="A16" s="3">
        <v>1</v>
      </c>
      <c r="B16" s="40">
        <f>B6*(1+$B$11)</f>
        <v>24.074733759318423</v>
      </c>
      <c r="C16" s="40">
        <f>B8*(1+$B$11)</f>
        <v>0</v>
      </c>
      <c r="D16" s="40">
        <f t="shared" ref="D16:D25" si="0">C16/((1+$B$12)^(A16-1))</f>
        <v>0</v>
      </c>
    </row>
    <row r="17" spans="1:4" x14ac:dyDescent="0.25">
      <c r="A17" s="3">
        <v>2</v>
      </c>
      <c r="B17" s="40">
        <f t="shared" ref="B17:C17" si="1">B16*(1+$B$11)</f>
        <v>25.880338791267302</v>
      </c>
      <c r="C17" s="40">
        <f t="shared" si="1"/>
        <v>0</v>
      </c>
      <c r="D17" s="40">
        <f t="shared" si="0"/>
        <v>0</v>
      </c>
    </row>
    <row r="18" spans="1:4" x14ac:dyDescent="0.25">
      <c r="A18" s="3">
        <v>3</v>
      </c>
      <c r="B18" s="40">
        <f t="shared" ref="B18:C18" si="2">B17*(1+$B$11)</f>
        <v>27.821364200612351</v>
      </c>
      <c r="C18" s="40">
        <f t="shared" si="2"/>
        <v>0</v>
      </c>
      <c r="D18" s="40">
        <f t="shared" si="0"/>
        <v>0</v>
      </c>
    </row>
    <row r="19" spans="1:4" x14ac:dyDescent="0.25">
      <c r="A19" s="3">
        <v>4</v>
      </c>
      <c r="B19" s="40">
        <f t="shared" ref="B19:C19" si="3">B18*(1+$B$11)</f>
        <v>29.907966515658277</v>
      </c>
      <c r="C19" s="40">
        <f t="shared" si="3"/>
        <v>0</v>
      </c>
      <c r="D19" s="40">
        <f t="shared" si="0"/>
        <v>0</v>
      </c>
    </row>
    <row r="20" spans="1:4" x14ac:dyDescent="0.25">
      <c r="A20" s="3">
        <v>5</v>
      </c>
      <c r="B20" s="40">
        <f t="shared" ref="B20:C20" si="4">B19*(1+$B$11)</f>
        <v>32.151064004332646</v>
      </c>
      <c r="C20" s="40">
        <f t="shared" si="4"/>
        <v>0</v>
      </c>
      <c r="D20" s="40">
        <f t="shared" si="0"/>
        <v>0</v>
      </c>
    </row>
    <row r="21" spans="1:4" ht="15.75" customHeight="1" x14ac:dyDescent="0.25">
      <c r="A21" s="3">
        <v>6</v>
      </c>
      <c r="B21" s="40">
        <f t="shared" ref="B21:C21" si="5">B20*(1+$B$11)</f>
        <v>34.562393804657596</v>
      </c>
      <c r="C21" s="40">
        <f t="shared" si="5"/>
        <v>0</v>
      </c>
      <c r="D21" s="40">
        <f t="shared" si="0"/>
        <v>0</v>
      </c>
    </row>
    <row r="22" spans="1:4" ht="15.75" customHeight="1" x14ac:dyDescent="0.25">
      <c r="A22" s="3">
        <v>7</v>
      </c>
      <c r="B22" s="40">
        <f t="shared" ref="B22:C22" si="6">B21*(1+$B$11)</f>
        <v>37.154573340006912</v>
      </c>
      <c r="C22" s="40">
        <f t="shared" si="6"/>
        <v>0</v>
      </c>
      <c r="D22" s="40">
        <f t="shared" si="0"/>
        <v>0</v>
      </c>
    </row>
    <row r="23" spans="1:4" ht="15.75" customHeight="1" x14ac:dyDescent="0.25">
      <c r="A23" s="3">
        <v>8</v>
      </c>
      <c r="B23" s="40">
        <f t="shared" ref="B23:C23" si="7">B22*(1+$B$11)</f>
        <v>39.941166340507429</v>
      </c>
      <c r="C23" s="40">
        <f t="shared" si="7"/>
        <v>0</v>
      </c>
      <c r="D23" s="40">
        <f t="shared" si="0"/>
        <v>0</v>
      </c>
    </row>
    <row r="24" spans="1:4" ht="15.75" customHeight="1" x14ac:dyDescent="0.25">
      <c r="A24" s="3">
        <v>9</v>
      </c>
      <c r="B24" s="40">
        <f t="shared" ref="B24:C24" si="8">B23*(1+$B$11)</f>
        <v>42.936753816045481</v>
      </c>
      <c r="C24" s="40">
        <f t="shared" si="8"/>
        <v>0</v>
      </c>
      <c r="D24" s="40">
        <f t="shared" si="0"/>
        <v>0</v>
      </c>
    </row>
    <row r="25" spans="1:4" ht="15.75" customHeight="1" x14ac:dyDescent="0.25">
      <c r="A25" s="3">
        <v>10</v>
      </c>
      <c r="B25" s="40">
        <f t="shared" ref="B25:C25" si="9">B24*(1+$B$11)</f>
        <v>46.157010352248889</v>
      </c>
      <c r="C25" s="40">
        <f t="shared" si="9"/>
        <v>0</v>
      </c>
      <c r="D25" s="40">
        <f t="shared" si="0"/>
        <v>0</v>
      </c>
    </row>
    <row r="26" spans="1:4" ht="15.75" customHeight="1" x14ac:dyDescent="0.25"/>
    <row r="27" spans="1:4" ht="15.75" customHeight="1" x14ac:dyDescent="0.25">
      <c r="A27" s="1" t="s">
        <v>163</v>
      </c>
      <c r="B27" s="41">
        <f>B25*B7</f>
        <v>1.9830487846206428</v>
      </c>
    </row>
    <row r="28" spans="1:4" ht="15.75" customHeight="1" x14ac:dyDescent="0.25">
      <c r="A28" s="1" t="s">
        <v>164</v>
      </c>
      <c r="B28" s="41">
        <f>B27/B12</f>
        <v>22.033875384673809</v>
      </c>
    </row>
    <row r="29" spans="1:4" ht="15.75" customHeight="1" x14ac:dyDescent="0.25">
      <c r="A29" s="1" t="s">
        <v>148</v>
      </c>
      <c r="B29" s="41">
        <f>B28/(1+B12)^10</f>
        <v>9.3073470802791221</v>
      </c>
    </row>
    <row r="30" spans="1:4" ht="15.75" customHeight="1" x14ac:dyDescent="0.25">
      <c r="A30" s="1" t="s">
        <v>165</v>
      </c>
      <c r="B30" s="41">
        <f>SUM(D16:D25)</f>
        <v>0</v>
      </c>
    </row>
    <row r="31" spans="1:4" ht="15.75" customHeight="1" x14ac:dyDescent="0.25">
      <c r="A31" s="42" t="s">
        <v>152</v>
      </c>
      <c r="B31" s="43">
        <f>B29+B30</f>
        <v>9.3073470802791221</v>
      </c>
    </row>
    <row r="32" spans="1:4" ht="15.75" customHeight="1" x14ac:dyDescent="0.25"/>
    <row r="33" spans="1:6" ht="15.75" customHeight="1" x14ac:dyDescent="0.25"/>
    <row r="34" spans="1:6" ht="15.75" customHeight="1" x14ac:dyDescent="0.25">
      <c r="A34" s="71" t="s">
        <v>24</v>
      </c>
      <c r="B34" s="72"/>
      <c r="C34" s="72"/>
      <c r="D34" s="72"/>
      <c r="E34" s="72"/>
      <c r="F34" s="73"/>
    </row>
    <row r="35" spans="1:6" ht="15" customHeight="1" x14ac:dyDescent="0.25">
      <c r="A35" s="74" t="str">
        <f>"The ROE method compounds book value per share at "&amp;TEXT(B11,"0.0%")&amp;" using an average return on equity of "&amp;TEXT(B7,"0.0%")&amp;", then values terminal earnings and dividends. Intrinsic value: $"&amp;TEXT(B31,"#,##0.00")&amp;" per share."&amp;IF(B7&lt;0.1," Note: depressed recent ROE drags this estimate down.","")</f>
        <v>The ROE method compounds book value per share at 7.5% using an average return on equity of 4.3%, then values terminal earnings and dividends. Intrinsic value: $9.31 per share. Note: depressed recent ROE drags this estimate down.</v>
      </c>
      <c r="B35" s="75"/>
      <c r="C35" s="75"/>
      <c r="D35" s="75"/>
      <c r="E35" s="75"/>
      <c r="F35" s="76"/>
    </row>
    <row r="36" spans="1:6" ht="15" customHeight="1" x14ac:dyDescent="0.25">
      <c r="A36" s="77"/>
      <c r="B36" s="69"/>
      <c r="C36" s="69"/>
      <c r="D36" s="69"/>
      <c r="E36" s="69"/>
      <c r="F36" s="78"/>
    </row>
    <row r="37" spans="1:6" ht="15" customHeight="1" x14ac:dyDescent="0.25">
      <c r="A37" s="77"/>
      <c r="B37" s="69"/>
      <c r="C37" s="69"/>
      <c r="D37" s="69"/>
      <c r="E37" s="69"/>
      <c r="F37" s="78"/>
    </row>
    <row r="38" spans="1:6" ht="15" customHeight="1" x14ac:dyDescent="0.25">
      <c r="A38" s="77"/>
      <c r="B38" s="69"/>
      <c r="C38" s="69"/>
      <c r="D38" s="69"/>
      <c r="E38" s="69"/>
      <c r="F38" s="78"/>
    </row>
    <row r="39" spans="1:6" ht="15" customHeight="1" x14ac:dyDescent="0.25">
      <c r="A39" s="79"/>
      <c r="B39" s="80"/>
      <c r="C39" s="80"/>
      <c r="D39" s="80"/>
      <c r="E39" s="80"/>
      <c r="F39" s="81"/>
    </row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35:F39"/>
    <mergeCell ref="A1:D1"/>
    <mergeCell ref="A2:D2"/>
    <mergeCell ref="A3:D3"/>
    <mergeCell ref="A14:D14"/>
    <mergeCell ref="A34:F34"/>
  </mergeCells>
  <pageMargins left="0.75" right="0.75" top="1" bottom="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showGridLines="0" workbookViewId="0">
      <selection sqref="A1:F1"/>
    </sheetView>
  </sheetViews>
  <sheetFormatPr defaultColWidth="14.42578125" defaultRowHeight="15" customHeight="1" x14ac:dyDescent="0.25"/>
  <cols>
    <col min="1" max="1" width="24" customWidth="1"/>
    <col min="2" max="2" width="18" customWidth="1"/>
    <col min="3" max="3" width="12" customWidth="1"/>
    <col min="4" max="5" width="9" customWidth="1"/>
    <col min="6" max="6" width="40" customWidth="1"/>
    <col min="7" max="26" width="8.7109375" customWidth="1"/>
  </cols>
  <sheetData>
    <row r="1" spans="1:6" ht="24" customHeight="1" x14ac:dyDescent="0.25">
      <c r="A1" s="82" t="s">
        <v>166</v>
      </c>
      <c r="B1" s="72"/>
      <c r="C1" s="72"/>
      <c r="D1" s="72"/>
      <c r="E1" s="72"/>
      <c r="F1" s="73"/>
    </row>
    <row r="2" spans="1:6" x14ac:dyDescent="0.25">
      <c r="A2" s="68" t="s">
        <v>167</v>
      </c>
      <c r="B2" s="69"/>
      <c r="C2" s="69"/>
      <c r="D2" s="69"/>
      <c r="E2" s="69"/>
      <c r="F2" s="69"/>
    </row>
    <row r="3" spans="1:6" x14ac:dyDescent="0.25">
      <c r="D3" s="49" t="s">
        <v>168</v>
      </c>
      <c r="E3" s="50">
        <f>SUM(E5:E18)</f>
        <v>55</v>
      </c>
    </row>
    <row r="4" spans="1:6" x14ac:dyDescent="0.25">
      <c r="A4" s="51" t="s">
        <v>169</v>
      </c>
      <c r="B4" s="51" t="s">
        <v>170</v>
      </c>
      <c r="C4" s="52" t="s">
        <v>171</v>
      </c>
      <c r="D4" s="52" t="s">
        <v>172</v>
      </c>
      <c r="E4" s="52" t="s">
        <v>173</v>
      </c>
      <c r="F4" s="51" t="s">
        <v>174</v>
      </c>
    </row>
    <row r="5" spans="1:6" x14ac:dyDescent="0.25">
      <c r="A5" s="27" t="s">
        <v>175</v>
      </c>
      <c r="B5" s="53">
        <f>Inputs!C33</f>
        <v>4.2963111550920099E-2</v>
      </c>
      <c r="C5" s="54" t="str">
        <f>IF(MIN(Ratios!B7:F7)&gt;=0.12,"Good",IF(Inputs!C33&gt;=0.1,"Average","Bad"))</f>
        <v>Bad</v>
      </c>
      <c r="D5" s="55">
        <f t="shared" ref="D5:D18" si="0">IF(C5="Good",100,IF(C5="Average",50,0))*E5/$E$3</f>
        <v>0</v>
      </c>
      <c r="E5" s="56">
        <v>6</v>
      </c>
      <c r="F5" s="57" t="s">
        <v>176</v>
      </c>
    </row>
    <row r="6" spans="1:6" x14ac:dyDescent="0.25">
      <c r="A6" s="27" t="s">
        <v>177</v>
      </c>
      <c r="B6" s="58">
        <f>Ratios!F10</f>
        <v>0.10971753293071473</v>
      </c>
      <c r="C6" s="54" t="str">
        <f>IF(Ratios!F10&lt;=0.5,"Good",IF(Ratios!F10&lt;=1,"Average","Bad"))</f>
        <v>Good</v>
      </c>
      <c r="D6" s="55">
        <f t="shared" si="0"/>
        <v>9.0909090909090917</v>
      </c>
      <c r="E6" s="56">
        <v>5</v>
      </c>
      <c r="F6" s="57" t="s">
        <v>178</v>
      </c>
    </row>
    <row r="7" spans="1:6" x14ac:dyDescent="0.25">
      <c r="A7" s="27" t="s">
        <v>179</v>
      </c>
      <c r="B7" s="58">
        <f>IFERROR((Inputs!C7/Inputs!C12)/(Inputs!C30*100),99)</f>
        <v>23.223853211009171</v>
      </c>
      <c r="C7" s="54" t="str">
        <f>IF(B7&lt;=1,"Good",IF(B7&lt;=2,"Average","Bad"))</f>
        <v>Bad</v>
      </c>
      <c r="D7" s="55">
        <f t="shared" si="0"/>
        <v>0</v>
      </c>
      <c r="E7" s="56">
        <v>4</v>
      </c>
      <c r="F7" s="57" t="s">
        <v>180</v>
      </c>
    </row>
    <row r="8" spans="1:6" x14ac:dyDescent="0.25">
      <c r="A8" s="27" t="s">
        <v>181</v>
      </c>
      <c r="B8" s="59">
        <f>IFERROR(Inputs!C7/Inputs!C12,99)</f>
        <v>348.35779816513758</v>
      </c>
      <c r="C8" s="54" t="str">
        <f>IF(B8&lt;=20,"Good",IF(B8&lt;=35,"Average","Bad"))</f>
        <v>Bad</v>
      </c>
      <c r="D8" s="55">
        <f t="shared" si="0"/>
        <v>0</v>
      </c>
      <c r="E8" s="56">
        <v>3</v>
      </c>
      <c r="F8" s="57" t="s">
        <v>182</v>
      </c>
    </row>
    <row r="9" spans="1:6" x14ac:dyDescent="0.25">
      <c r="A9" s="27" t="s">
        <v>183</v>
      </c>
      <c r="B9" s="53">
        <f>Ratios!F6-Ratios!B6</f>
        <v>1.5365968250003609E-4</v>
      </c>
      <c r="C9" s="54" t="str">
        <f>IF(Ratios!F6&gt;=Ratios!B6,"Good","Bad")</f>
        <v>Good</v>
      </c>
      <c r="D9" s="55">
        <f t="shared" si="0"/>
        <v>5.4545454545454541</v>
      </c>
      <c r="E9" s="56">
        <v>3</v>
      </c>
      <c r="F9" s="57" t="s">
        <v>184</v>
      </c>
    </row>
    <row r="10" spans="1:6" x14ac:dyDescent="0.25">
      <c r="A10" s="27" t="s">
        <v>185</v>
      </c>
      <c r="B10" s="60">
        <f>Ratios!F11-Ratios!B11</f>
        <v>2.5727988525280523</v>
      </c>
      <c r="C10" s="54" t="str">
        <f>IF(Ratios!F11&gt;=Ratios!B11,"Good","Bad")</f>
        <v>Good</v>
      </c>
      <c r="D10" s="55">
        <f t="shared" si="0"/>
        <v>9.0909090909090917</v>
      </c>
      <c r="E10" s="56">
        <v>5</v>
      </c>
      <c r="F10" s="57" t="s">
        <v>186</v>
      </c>
    </row>
    <row r="11" spans="1:6" x14ac:dyDescent="0.25">
      <c r="A11" s="27" t="s">
        <v>187</v>
      </c>
      <c r="B11" s="53">
        <f>IFERROR(Inputs!C16/Inputs!C9,0)</f>
        <v>4.9081793237813432E-3</v>
      </c>
      <c r="C11" s="54" t="str">
        <f>IF(B11&gt;=0.05,"Good",IF(B11&gt;=0.02,"Average","Bad"))</f>
        <v>Bad</v>
      </c>
      <c r="D11" s="55">
        <f t="shared" si="0"/>
        <v>0</v>
      </c>
      <c r="E11" s="56">
        <v>3</v>
      </c>
      <c r="F11" s="57" t="s">
        <v>188</v>
      </c>
    </row>
    <row r="12" spans="1:6" x14ac:dyDescent="0.25">
      <c r="A12" s="27" t="s">
        <v>189</v>
      </c>
      <c r="B12" s="53">
        <f>IFERROR(Financials!F6/Financials!B6-1,0)</f>
        <v>0.15784846133953967</v>
      </c>
      <c r="C12" s="54" t="str">
        <f>IF(B12&gt;=0.1,"Good",IF(B12&gt;=0,"Average","Bad"))</f>
        <v>Good</v>
      </c>
      <c r="D12" s="55">
        <f t="shared" si="0"/>
        <v>7.2727272727272725</v>
      </c>
      <c r="E12" s="56">
        <v>4</v>
      </c>
      <c r="F12" s="57" t="s">
        <v>190</v>
      </c>
    </row>
    <row r="13" spans="1:6" x14ac:dyDescent="0.25">
      <c r="A13" s="27" t="s">
        <v>17</v>
      </c>
      <c r="B13" s="58">
        <f>Ratios!F9</f>
        <v>2.0431191048098891</v>
      </c>
      <c r="C13" s="54" t="str">
        <f>IF(Ratios!F9&gt;=2,"Good",IF(Ratios!F9&gt;=1,"Average","Bad"))</f>
        <v>Good</v>
      </c>
      <c r="D13" s="55">
        <f t="shared" si="0"/>
        <v>9.0909090909090917</v>
      </c>
      <c r="E13" s="56">
        <v>5</v>
      </c>
      <c r="F13" s="57" t="s">
        <v>191</v>
      </c>
    </row>
    <row r="14" spans="1:6" x14ac:dyDescent="0.25">
      <c r="A14" s="27" t="s">
        <v>16</v>
      </c>
      <c r="B14" s="58">
        <f>'Financial Health'!B10</f>
        <v>16.022730856076972</v>
      </c>
      <c r="C14" s="54" t="str">
        <f>IF('Financial Health'!B10&gt;=3,"Good",IF('Financial Health'!B10&gt;=1.8,"Average","Bad"))</f>
        <v>Good</v>
      </c>
      <c r="D14" s="55">
        <f t="shared" si="0"/>
        <v>5.4545454545454541</v>
      </c>
      <c r="E14" s="56">
        <v>3</v>
      </c>
      <c r="F14" s="57" t="s">
        <v>192</v>
      </c>
    </row>
    <row r="15" spans="1:6" x14ac:dyDescent="0.25">
      <c r="A15" s="27" t="s">
        <v>193</v>
      </c>
      <c r="B15" s="58">
        <f>'Financial Health'!B14</f>
        <v>1.8125323666494044</v>
      </c>
      <c r="C15" s="54" t="str">
        <f>IF('Financial Health'!B14&gt;=0.8,"Good",IF('Financial Health'!B14&gt;=0.5,"Average","Bad"))</f>
        <v>Good</v>
      </c>
      <c r="D15" s="55">
        <f t="shared" si="0"/>
        <v>5.4545454545454541</v>
      </c>
      <c r="E15" s="56">
        <v>3</v>
      </c>
      <c r="F15" s="57" t="s">
        <v>194</v>
      </c>
    </row>
    <row r="16" spans="1:6" x14ac:dyDescent="0.25">
      <c r="A16" s="27" t="s">
        <v>195</v>
      </c>
      <c r="B16" s="53">
        <f>'Financial Health'!B15</f>
        <v>5.2461299480422087E-2</v>
      </c>
      <c r="C16" s="54" t="str">
        <f>IF('Financial Health'!B15&gt;=0.18,"Good",IF('Financial Health'!B15&gt;=0.1,"Average","Bad"))</f>
        <v>Bad</v>
      </c>
      <c r="D16" s="55">
        <f t="shared" si="0"/>
        <v>0</v>
      </c>
      <c r="E16" s="56">
        <v>4</v>
      </c>
      <c r="F16" s="57" t="s">
        <v>196</v>
      </c>
    </row>
    <row r="17" spans="1:6" x14ac:dyDescent="0.25">
      <c r="A17" s="27" t="s">
        <v>119</v>
      </c>
      <c r="B17" s="53">
        <f>Financials!F13/Financials!F6</f>
        <v>4.2033322910617767E-2</v>
      </c>
      <c r="C17" s="54" t="str">
        <f>IF(B17&gt;=0.1,"Good",IF(B17&gt;=0.04,"Average","Bad"))</f>
        <v>Average</v>
      </c>
      <c r="D17" s="55">
        <f t="shared" si="0"/>
        <v>2.7272727272727271</v>
      </c>
      <c r="E17" s="56">
        <v>3</v>
      </c>
      <c r="F17" s="57" t="s">
        <v>197</v>
      </c>
    </row>
    <row r="18" spans="1:6" x14ac:dyDescent="0.25">
      <c r="A18" s="27" t="s">
        <v>198</v>
      </c>
      <c r="B18" s="58">
        <f>'Financial Health'!B16</f>
        <v>1.3184285714285715</v>
      </c>
      <c r="C18" s="54" t="str">
        <f>IF('Financial Health'!B16&lt;=3,"Good",IF('Financial Health'!B16&lt;=5,"Average","Bad"))</f>
        <v>Good</v>
      </c>
      <c r="D18" s="55">
        <f t="shared" si="0"/>
        <v>7.2727272727272725</v>
      </c>
      <c r="E18" s="56">
        <v>4</v>
      </c>
      <c r="F18" s="57" t="s">
        <v>199</v>
      </c>
    </row>
    <row r="20" spans="1:6" ht="15.75" x14ac:dyDescent="0.25">
      <c r="A20" s="61" t="s">
        <v>200</v>
      </c>
      <c r="B20" s="62"/>
      <c r="C20" s="63">
        <f>ROUND(SUM(D5:D18),0)</f>
        <v>61</v>
      </c>
      <c r="D20" s="64" t="s">
        <v>3</v>
      </c>
      <c r="E20" s="62"/>
      <c r="F20" s="62"/>
    </row>
    <row r="21" spans="1:6" ht="15.75" customHeight="1" x14ac:dyDescent="0.25">
      <c r="A21" s="71" t="s">
        <v>24</v>
      </c>
      <c r="B21" s="72"/>
      <c r="C21" s="72"/>
      <c r="D21" s="72"/>
      <c r="E21" s="72"/>
      <c r="F21" s="73"/>
    </row>
    <row r="22" spans="1:6" ht="15" customHeight="1" x14ac:dyDescent="0.25">
      <c r="A22" s="74" t="str">
        <f>"Overall quality score: "&amp;TEXT(Scorecard!C20,"0")&amp;"/100. Of the 14 factors, "&amp;COUNTIF(C5:C18,"Good")&amp;" rate Good, "&amp;COUNTIF(C5:C18,"Average")&amp;" Average and "&amp;COUNTIF(C5:C18,"Bad")&amp;" Bad. The heaviest weights sit on return on equity, balance-sheet strength and debt repayment."</f>
        <v>Overall quality score: 61/100. Of the 14 factors, 8 rate Good, 1 Average and 5 Bad. The heaviest weights sit on return on equity, balance-sheet strength and debt repayment.</v>
      </c>
      <c r="B22" s="75"/>
      <c r="C22" s="75"/>
      <c r="D22" s="75"/>
      <c r="E22" s="75"/>
      <c r="F22" s="76"/>
    </row>
    <row r="23" spans="1:6" ht="15" customHeight="1" x14ac:dyDescent="0.25">
      <c r="A23" s="77"/>
      <c r="B23" s="69"/>
      <c r="C23" s="69"/>
      <c r="D23" s="69"/>
      <c r="E23" s="69"/>
      <c r="F23" s="78"/>
    </row>
    <row r="24" spans="1:6" ht="15" customHeight="1" x14ac:dyDescent="0.25">
      <c r="A24" s="77"/>
      <c r="B24" s="69"/>
      <c r="C24" s="69"/>
      <c r="D24" s="69"/>
      <c r="E24" s="69"/>
      <c r="F24" s="78"/>
    </row>
    <row r="25" spans="1:6" ht="15" customHeight="1" x14ac:dyDescent="0.25">
      <c r="A25" s="77"/>
      <c r="B25" s="69"/>
      <c r="C25" s="69"/>
      <c r="D25" s="69"/>
      <c r="E25" s="69"/>
      <c r="F25" s="78"/>
    </row>
    <row r="26" spans="1:6" ht="15" customHeight="1" x14ac:dyDescent="0.25">
      <c r="A26" s="79"/>
      <c r="B26" s="80"/>
      <c r="C26" s="80"/>
      <c r="D26" s="80"/>
      <c r="E26" s="80"/>
      <c r="F26" s="81"/>
    </row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F1"/>
    <mergeCell ref="A2:F2"/>
    <mergeCell ref="A21:F21"/>
    <mergeCell ref="A22:F26"/>
  </mergeCells>
  <conditionalFormatting sqref="C5:C18">
    <cfRule type="cellIs" dxfId="14" priority="1" operator="equal">
      <formula>"Good"</formula>
    </cfRule>
    <cfRule type="cellIs" dxfId="13" priority="2" operator="equal">
      <formula>"Average"</formula>
    </cfRule>
    <cfRule type="cellIs" dxfId="12" priority="3" operator="equal">
      <formula>"Bad"</formula>
    </cfRule>
  </conditionalFormatting>
  <pageMargins left="0.75" right="0.75" top="1" bottom="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0"/>
  <sheetViews>
    <sheetView showGridLines="0" tabSelected="1" workbookViewId="0">
      <selection sqref="A1:C1"/>
    </sheetView>
  </sheetViews>
  <sheetFormatPr defaultColWidth="14.42578125" defaultRowHeight="15" customHeight="1" x14ac:dyDescent="0.25"/>
  <cols>
    <col min="1" max="1" width="30" customWidth="1"/>
    <col min="2" max="2" width="14" customWidth="1"/>
    <col min="3" max="3" width="40" customWidth="1"/>
    <col min="4" max="26" width="8.7109375" customWidth="1"/>
  </cols>
  <sheetData>
    <row r="1" spans="1:3" ht="24" customHeight="1" x14ac:dyDescent="0.25">
      <c r="A1" s="82" t="s">
        <v>201</v>
      </c>
      <c r="B1" s="72"/>
      <c r="C1" s="73"/>
    </row>
    <row r="3" spans="1:3" x14ac:dyDescent="0.25">
      <c r="A3" s="71" t="s">
        <v>202</v>
      </c>
      <c r="B3" s="72"/>
      <c r="C3" s="73"/>
    </row>
    <row r="4" spans="1:3" x14ac:dyDescent="0.25">
      <c r="A4" s="27" t="s">
        <v>203</v>
      </c>
      <c r="B4" s="10">
        <f>(Inputs!C23-Inputs!C24)/Inputs!C25</f>
        <v>0.24776655255907154</v>
      </c>
    </row>
    <row r="5" spans="1:3" x14ac:dyDescent="0.25">
      <c r="A5" s="27" t="s">
        <v>204</v>
      </c>
      <c r="B5" s="10">
        <f>Inputs!C27/Inputs!C25</f>
        <v>0.29222676797194624</v>
      </c>
    </row>
    <row r="6" spans="1:3" x14ac:dyDescent="0.25">
      <c r="A6" s="27" t="s">
        <v>205</v>
      </c>
      <c r="B6" s="10">
        <f>Inputs!C15/Inputs!C25</f>
        <v>3.4072249589490969E-2</v>
      </c>
    </row>
    <row r="7" spans="1:3" x14ac:dyDescent="0.25">
      <c r="A7" s="27" t="s">
        <v>206</v>
      </c>
      <c r="B7" s="10">
        <f>Inputs!C9/Inputs!C26</f>
        <v>24.204724211669664</v>
      </c>
    </row>
    <row r="8" spans="1:3" x14ac:dyDescent="0.25">
      <c r="A8" s="27" t="s">
        <v>207</v>
      </c>
      <c r="B8" s="10">
        <f>Inputs!C13/Inputs!C25</f>
        <v>0.68102056719824111</v>
      </c>
    </row>
    <row r="10" spans="1:3" x14ac:dyDescent="0.25">
      <c r="A10" s="65" t="s">
        <v>16</v>
      </c>
      <c r="B10" s="66">
        <f>1.2*B4+1.4*B5+3.3*B6+0.6*B7+1*B8</f>
        <v>16.022730856076972</v>
      </c>
      <c r="C10" s="1" t="str">
        <f>IF(B10&gt;=3,"SAFE (Z&gt;3)",IF(B10&gt;=1.8,"GREY ZONE (1.8-3)","DISTRESS (&lt;1.8)"))</f>
        <v>SAFE (Z&gt;3)</v>
      </c>
    </row>
    <row r="12" spans="1:3" x14ac:dyDescent="0.25">
      <c r="A12" s="71" t="s">
        <v>208</v>
      </c>
      <c r="B12" s="72"/>
      <c r="C12" s="73"/>
    </row>
    <row r="13" spans="1:3" x14ac:dyDescent="0.25">
      <c r="A13" s="27" t="s">
        <v>209</v>
      </c>
      <c r="B13" s="10">
        <f>IFERROR((Inputs!C14-Inputs!C16)/Inputs!C25,0)</f>
        <v>-2.183351423561827E-2</v>
      </c>
      <c r="C13" s="9" t="s">
        <v>210</v>
      </c>
    </row>
    <row r="14" spans="1:3" x14ac:dyDescent="0.25">
      <c r="A14" s="27" t="s">
        <v>19</v>
      </c>
      <c r="B14" s="10">
        <f>IFERROR(Inputs!C16/Inputs!C14,0)</f>
        <v>1.8125323666494044</v>
      </c>
      <c r="C14" s="9" t="s">
        <v>211</v>
      </c>
    </row>
    <row r="15" spans="1:3" x14ac:dyDescent="0.25">
      <c r="A15" s="27" t="s">
        <v>212</v>
      </c>
      <c r="B15" s="11">
        <f>IFERROR(Inputs!C15/(Inputs!C21+Inputs!C22),0)</f>
        <v>5.2461299480422087E-2</v>
      </c>
      <c r="C15" s="9" t="s">
        <v>213</v>
      </c>
    </row>
    <row r="16" spans="1:3" x14ac:dyDescent="0.25">
      <c r="A16" s="27" t="s">
        <v>214</v>
      </c>
      <c r="B16" s="10">
        <f>IFERROR(Inputs!C21/Inputs!C16,0)</f>
        <v>1.3184285714285715</v>
      </c>
      <c r="C16" s="9" t="s">
        <v>215</v>
      </c>
    </row>
    <row r="18" spans="1:3" x14ac:dyDescent="0.25">
      <c r="A18" s="71" t="s">
        <v>24</v>
      </c>
      <c r="B18" s="72"/>
      <c r="C18" s="73"/>
    </row>
    <row r="19" spans="1:3" ht="15" customHeight="1" x14ac:dyDescent="0.25">
      <c r="A19" s="74" t="str">
        <f>"Altman Z-Score of "&amp;TEXT(B10,"0.0")&amp;" places the company in the "&amp;IF(B10&gt;=3,"safe zone",IF(B10&gt;=1.8,"grey zone","distress zone"))&amp;". Free cash flow covers "&amp;TEXT(B14,"0.0")&amp;"x of net income, and debt could be cleared from free cash flow in "&amp;TEXT(B16,"0.0")&amp;" years."</f>
        <v>Altman Z-Score of 16.0 places the company in the safe zone. Free cash flow covers 1.8x of net income, and debt could be cleared from free cash flow in 1.3 years.</v>
      </c>
      <c r="B19" s="75"/>
      <c r="C19" s="76"/>
    </row>
    <row r="20" spans="1:3" ht="15" customHeight="1" x14ac:dyDescent="0.25">
      <c r="A20" s="77"/>
      <c r="B20" s="69"/>
      <c r="C20" s="78"/>
    </row>
    <row r="21" spans="1:3" ht="15" customHeight="1" x14ac:dyDescent="0.25">
      <c r="A21" s="77"/>
      <c r="B21" s="69"/>
      <c r="C21" s="78"/>
    </row>
    <row r="22" spans="1:3" ht="15" customHeight="1" x14ac:dyDescent="0.25">
      <c r="A22" s="77"/>
      <c r="B22" s="69"/>
      <c r="C22" s="78"/>
    </row>
    <row r="23" spans="1:3" ht="15" customHeight="1" x14ac:dyDescent="0.25">
      <c r="A23" s="79"/>
      <c r="B23" s="80"/>
      <c r="C23" s="81"/>
    </row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A1:C1"/>
    <mergeCell ref="A3:C3"/>
    <mergeCell ref="A12:C12"/>
    <mergeCell ref="A18:C18"/>
    <mergeCell ref="A19:C23"/>
  </mergeCells>
  <conditionalFormatting sqref="B10">
    <cfRule type="cellIs" dxfId="11" priority="1" operator="greaterThanOrEqual">
      <formula>3</formula>
    </cfRule>
    <cfRule type="cellIs" dxfId="10" priority="2" operator="between">
      <formula>1.8</formula>
      <formula>3</formula>
    </cfRule>
    <cfRule type="cellIs" dxfId="9" priority="3" operator="lessThan">
      <formula>1.8</formula>
    </cfRule>
  </conditionalFormatting>
  <conditionalFormatting sqref="B14">
    <cfRule type="cellIs" dxfId="8" priority="7" operator="greaterThanOrEqual">
      <formula>0.8</formula>
    </cfRule>
    <cfRule type="cellIs" dxfId="7" priority="8" operator="between">
      <formula>0.5</formula>
      <formula>0.8</formula>
    </cfRule>
    <cfRule type="cellIs" dxfId="6" priority="9" operator="lessThan">
      <formula>0.5</formula>
    </cfRule>
  </conditionalFormatting>
  <conditionalFormatting sqref="B16">
    <cfRule type="cellIs" dxfId="5" priority="10" operator="lessThanOrEqual">
      <formula>3</formula>
    </cfRule>
    <cfRule type="cellIs" dxfId="4" priority="11" operator="between">
      <formula>3</formula>
      <formula>5</formula>
    </cfRule>
    <cfRule type="cellIs" dxfId="3" priority="12" operator="greaterThan">
      <formula>5</formula>
    </cfRule>
  </conditionalFormatting>
  <conditionalFormatting sqref="C10">
    <cfRule type="expression" dxfId="2" priority="4">
      <formula>ISNUMBER(SEARCH("SAFE",C10))</formula>
    </cfRule>
    <cfRule type="expression" dxfId="1" priority="5">
      <formula>ISNUMBER(SEARCH("GREY",C10))</formula>
    </cfRule>
    <cfRule type="expression" dxfId="0" priority="6">
      <formula>ISNUMBER(SEARCH("DISTRESS",C10))</formula>
    </cfRule>
  </conditionalFormatting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Dashboard</vt:lpstr>
      <vt:lpstr>Inputs</vt:lpstr>
      <vt:lpstr>Financials</vt:lpstr>
      <vt:lpstr>Ratios</vt:lpstr>
      <vt:lpstr>PE Valuation</vt:lpstr>
      <vt:lpstr>DCF Valuation</vt:lpstr>
      <vt:lpstr>ROE Valuation</vt:lpstr>
      <vt:lpstr>Scorecard</vt:lpstr>
      <vt:lpstr>Financial Health</vt:lpstr>
      <vt:lpstr>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 Brad</cp:lastModifiedBy>
  <dcterms:modified xsi:type="dcterms:W3CDTF">2026-07-29T22:33:55Z</dcterms:modified>
</cp:coreProperties>
</file>